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<sst xmlns="http://schemas.openxmlformats.org/spreadsheetml/2006/main" count="120" uniqueCount="107">
  <si>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Ulta Beauty, Inc. (ULTA)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</si>
  <si>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</si>
  <si>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</si>
  <si>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</si>
  <si>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</si>
  <si>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</si>
  <si>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</si>
  <si>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</si>
  <si>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</si>
  <si>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</si>
  <si>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</si>
  <si>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</si>
  <si>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</si>
  <si>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</si>
  <si>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</si>
  <si>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</si>
  <si>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</si>
  <si>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</si>
  <si>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</si>
  <si>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</si>
  <si>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</si>
  <si>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</si>
  <si>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</si>
  <si>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</si>
  <si>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</si>
  <si>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</si>
  <si>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</si>
  <si>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</si>
  <si>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</si>
  <si>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</si>
  <si>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</si>
  <si>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</si>
  <si>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</si>
  <si>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</si>
  <si>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</si>
  <si>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</si>
  <si>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</si>
  <si>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</si>
  <si>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</si>
  <si>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</si>
  <si>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</si>
  <si>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</si>
  <si>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</si>
  <si>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</si>
  <si>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</si>
  <si>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</si>
  <si>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</si>
  <si>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</si>
  <si>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</si>
  <si>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</si>
  <si>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</si>
  <si>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</si>
  <si>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</si>
  <si>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</si>
  <si>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</si>
  <si>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</si>
  <si>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</si>
  <si>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</si>
  <si>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</si>
  <si>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</si>
  <si>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</si>
  <si>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</si>
  <si>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</si>
  <si>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</si>
  <si>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</si>
  <si>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</si>
  <si>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</si>
  <si>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</si>
  <si>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</si>
  <si>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</si>
  <si>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</si>
  <si>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</si>
  <si>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</si>
  <si>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</si>
  <si>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</si>
  <si>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</si>
  <si>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</si>
  <si>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</si>
  <si>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</si>
  <si>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</si>
  <si>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</si>
  <si>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</si>
  <si>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</si>
  <si>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</si>
  <si>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</si>
  <si>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</si>
  <si>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</si>
  <si>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</si>
  <si>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</si>
  <si>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</si>
  <si>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</si>
  <si>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</si>
  <si>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</si>
  <si>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</si>
  <si>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</si>
  <si>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</si>
  <si>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</si>
  <si>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</si>
  <si>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</si>
  <si>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</si>
  <si>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</si>
  <si>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</si>
  <si>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</si>
  <si>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</si>
  <si>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</si>
  <si>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3.4% of revenue against depreciation of 2.3%.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</si>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</sst>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0.07125251637641794</v>
      </c>
    </row>
    <row r="7" spans="1:2" x14ac:dyDescent="0.25">
      <c r="A7" t="s">
        <v>4</v>
      </c>
      <c r="B7" s="5">
        <v>0.1441930196105769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0.023328065437465954</v>
      </c>
    </row>
    <row r="10" spans="1:3" x14ac:dyDescent="0.25">
      <c r="A10" t="s">
        <v>7</v>
      </c>
      <c r="B10" s="5">
        <v>0.03441261684658914</v>
      </c>
      <c r="C10" s="6" t="s">
        <v>8</v>
      </c>
    </row>
    <row r="11" spans="1:2" x14ac:dyDescent="0.25">
      <c r="A11" t="s">
        <v>9</v>
      </c>
      <c r="B11" s="5">
        <v>0.12179421623771376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15.717571766639544</v>
      </c>
    </row>
    <row r="14" spans="1:3" x14ac:dyDescent="0.25">
      <c r="A14" t="s">
        <v>12</v>
      </c>
      <c r="B14" s="5">
        <v>0.5428675421110429</v>
      </c>
      <c r="C14" s="6" t="s">
        <v>13</v>
      </c>
    </row>
    <row r="15" spans="1:3" x14ac:dyDescent="0.25">
      <c r="A15" t="s">
        <v>14</v>
      </c>
      <c r="B15" s="5">
        <v>0.023328065437465954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0.8914599999999999</v>
      </c>
      <c r="C19" s="6" t="s">
        <v>21</v>
      </c>
    </row>
    <row r="20" spans="1:2" x14ac:dyDescent="0.25">
      <c r="A20" t="s">
        <v>22</v>
      </c>
      <c r="B20" s="9">
        <f>B17+B19*B18</f>
        <v>0.08664875799999999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27383166976</v>
      </c>
    </row>
    <row r="23" spans="1:2" x14ac:dyDescent="0.25">
      <c r="A23" t="s">
        <v>26</v>
      </c>
      <c r="B23" s="10">
        <v>2182061000</v>
      </c>
    </row>
    <row r="24" spans="1:2" x14ac:dyDescent="0.25">
      <c r="A24" t="s">
        <v>27</v>
      </c>
      <c r="B24" s="9">
        <f>B22/(B22+B23)</f>
        <v>0.9261950220112857</v>
      </c>
    </row>
    <row r="25" spans="1:2" x14ac:dyDescent="0.25">
      <c r="A25" t="s">
        <v>28</v>
      </c>
      <c r="B25" s="9">
        <f>1-B24</f>
        <v>0.07380497798871433</v>
      </c>
    </row>
    <row r="26" spans="1:2" x14ac:dyDescent="0.25">
      <c r="A26" t="s">
        <v>29</v>
      </c>
      <c r="B26" s="11">
        <f>B24*B20+B25*B21*(1-B8)</f>
        <v>0.08427325931726871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12392820000</v>
      </c>
      <c r="C29" s="6" t="s">
        <v>32</v>
      </c>
    </row>
    <row r="30" spans="1:2" x14ac:dyDescent="0.25">
      <c r="A30" t="s">
        <v>33</v>
      </c>
      <c r="B30" s="10">
        <v>1687818000</v>
      </c>
    </row>
    <row r="31" spans="1:2" x14ac:dyDescent="0.25">
      <c r="A31" t="s">
        <v>34</v>
      </c>
      <c r="B31" s="12">
        <v>44991000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0.07125251637641794</v>
      </c>
      <c r="C5" s="5">
        <v>0.051644991212725255</v>
      </c>
      <c r="D5" s="5">
        <v>0.0483143673111346</v>
      </c>
      <c r="E5" s="5">
        <v>0.04498374340954394</v>
      </c>
      <c r="F5" s="5">
        <v>0.041653119507953286</v>
      </c>
      <c r="G5" s="5">
        <v>0.038322495606362625</v>
      </c>
      <c r="H5" s="5">
        <v>0.03499187170477197</v>
      </c>
      <c r="I5" s="5">
        <v>0.03166124780318132</v>
      </c>
      <c r="J5" s="5">
        <v>0.02833062390159066</v>
      </c>
      <c r="K5" s="5">
        <v>0.025</v>
      </c>
    </row>
    <row r="6" spans="1:11" x14ac:dyDescent="0.25">
      <c r="A6" t="s">
        <v>50</v>
      </c>
      <c r="B6" s="18">
        <f>Assumptions!B29*(1+B5)</f>
        <v>13275839610</v>
      </c>
      <c r="C6" s="18">
        <f>B6*(1+C5)</f>
        <v>13961470230</v>
      </c>
      <c r="D6" s="18">
        <f>C6*(1+D5)</f>
        <v>14636009830.89569</v>
      </c>
      <c r="E6" s="18">
        <f>D6*(1+E5)</f>
        <v>15294392341.668264</v>
      </c>
      <c r="F6" s="18">
        <f>E6*(1+F5)</f>
        <v>15931451493.677298</v>
      </c>
      <c r="G6" s="18">
        <f>F6*(1+G5)</f>
        <v>16541984473.546724</v>
      </c>
      <c r="H6" s="18">
        <f>G6*(1+H5)</f>
        <v>17120819471.9874</v>
      </c>
      <c r="I6" s="18">
        <f>H6*(1+I5)</f>
        <v>17662885979.883522</v>
      </c>
      <c r="J6" s="18">
        <f>I6*(1+J5)</f>
        <v>18163286559.59628</v>
      </c>
      <c r="K6" s="18">
        <f>J6*(1+K5)</f>
        <v>18617368723.586185</v>
      </c>
    </row>
    <row r="7" spans="1:11" x14ac:dyDescent="0.25">
      <c r="A7" t="s">
        <v>4</v>
      </c>
      <c r="B7" s="9">
        <f>Assumptions!B7</f>
        <v>0.1441930196105769</v>
      </c>
      <c r="C7" s="9">
        <f>Assumptions!B7</f>
        <v>0.1441930196105769</v>
      </c>
      <c r="D7" s="9">
        <f>Assumptions!B7</f>
        <v>0.1441930196105769</v>
      </c>
      <c r="E7" s="9">
        <f>Assumptions!B7</f>
        <v>0.1441930196105769</v>
      </c>
      <c r="F7" s="9">
        <f>Assumptions!B7</f>
        <v>0.1441930196105769</v>
      </c>
      <c r="G7" s="9">
        <f>Assumptions!B7</f>
        <v>0.1441930196105769</v>
      </c>
      <c r="H7" s="9">
        <f>Assumptions!B7</f>
        <v>0.1441930196105769</v>
      </c>
      <c r="I7" s="9">
        <f>Assumptions!B7</f>
        <v>0.1441930196105769</v>
      </c>
      <c r="J7" s="9">
        <f>Assumptions!B7</f>
        <v>0.1441930196105769</v>
      </c>
      <c r="K7" s="9">
        <f>Assumptions!B7</f>
        <v>0.1441930196105769</v>
      </c>
    </row>
    <row r="8" spans="1:11" x14ac:dyDescent="0.25">
      <c r="A8" t="s">
        <v>51</v>
      </c>
      <c r="B8" s="18">
        <f>B6*B7</f>
        <v>1914283401.2316036</v>
      </c>
      <c r="C8" s="18">
        <f>C6*C7</f>
        <v>2013146550.6668756</v>
      </c>
      <c r="D8" s="18">
        <f>D6*D7</f>
        <v>2110410452.5669386</v>
      </c>
      <c r="E8" s="18">
        <f>E6*E7</f>
        <v>2205344614.854029</v>
      </c>
      <c r="F8" s="18">
        <f>F6*F7</f>
        <v>2297204097.6527653</v>
      </c>
      <c r="G8" s="18">
        <f>G6*G7</f>
        <v>2385238691.5919814</v>
      </c>
      <c r="H8" s="18">
        <f>H6*H7</f>
        <v>2468702657.873426</v>
      </c>
      <c r="I8" s="18">
        <f>I6*I7</f>
        <v>2546864864.4767284</v>
      </c>
      <c r="J8" s="18">
        <f>J6*J7</f>
        <v>2619019135.0803943</v>
      </c>
      <c r="K8" s="18">
        <f>K6*K7</f>
        <v>2684494613.4574037</v>
      </c>
    </row>
    <row r="9" spans="1:11" x14ac:dyDescent="0.25">
      <c r="A9" t="s">
        <v>52</v>
      </c>
      <c r="B9" s="18">
        <f>B8*(1-Assumptions!B8)</f>
        <v>1512283886.972967</v>
      </c>
      <c r="C9" s="18">
        <f>C8*(1-Assumptions!B8)</f>
        <v>1590385775.0268319</v>
      </c>
      <c r="D9" s="18">
        <f>D8*(1-Assumptions!B8)</f>
        <v>1667224257.5278816</v>
      </c>
      <c r="E9" s="18">
        <f>E8*(1-Assumptions!B8)</f>
        <v>1742222245.734683</v>
      </c>
      <c r="F9" s="18">
        <f>F8*(1-Assumptions!B8)</f>
        <v>1814791237.1456847</v>
      </c>
      <c r="G9" s="18">
        <f>G8*(1-Assumptions!B8)</f>
        <v>1884338566.3576653</v>
      </c>
      <c r="H9" s="18">
        <f>H8*(1-Assumptions!B8)</f>
        <v>1950275099.7200067</v>
      </c>
      <c r="I9" s="18">
        <f>I8*(1-Assumptions!B8)</f>
        <v>2012023242.9366155</v>
      </c>
      <c r="J9" s="18">
        <f>J8*(1-Assumptions!B8)</f>
        <v>2069025116.7135115</v>
      </c>
      <c r="K9" s="18">
        <f>K8*(1-Assumptions!B8)</f>
        <v>2120750744.631349</v>
      </c>
    </row>
    <row r="10" spans="1:11" x14ac:dyDescent="0.25">
      <c r="A10" t="s">
        <v>53</v>
      </c>
      <c r="B10" s="18">
        <f>B6*Assumptions!B9</f>
        <v>309699655.1593825</v>
      </c>
      <c r="C10" s="18">
        <f>C6*Assumptions!B9</f>
        <v>325694091.12867284</v>
      </c>
      <c r="D10" s="18">
        <f>D6*Assumptions!B9</f>
        <v>341429795.0785297</v>
      </c>
      <c r="E10" s="18">
        <f>E6*Assumptions!B9</f>
        <v>356788585.3727154</v>
      </c>
      <c r="F10" s="18">
        <f>F6*Assumptions!B9</f>
        <v>371649942.9583187</v>
      </c>
      <c r="G10" s="18">
        <f>G6*Assumptions!B9</f>
        <v>385892496.2644438</v>
      </c>
      <c r="H10" s="18">
        <f>H6*Assumptions!B9</f>
        <v>399395596.9855634</v>
      </c>
      <c r="I10" s="18">
        <f>I6*Assumptions!B9</f>
        <v>412040959.95322275</v>
      </c>
      <c r="J10" s="18">
        <f>J6*Assumptions!B9</f>
        <v>423714337.42170787</v>
      </c>
      <c r="K10" s="18">
        <f>K6*Assumptions!B9</f>
        <v>434307195.8572506</v>
      </c>
    </row>
    <row r="11" spans="1:11" x14ac:dyDescent="0.25">
      <c r="A11" t="s">
        <v>54</v>
      </c>
      <c r="B11" s="18">
        <f>-B6*B19</f>
        <v>-456856381.81570137</v>
      </c>
      <c r="C11" s="18">
        <f>-C6*C19</f>
        <v>-471393327.0433706</v>
      </c>
      <c r="D11" s="18">
        <f>-D6*D19</f>
        <v>-484673396.31479824</v>
      </c>
      <c r="E11" s="18">
        <f>-E6*E19</f>
        <v>-496553698.2404644</v>
      </c>
      <c r="F11" s="18">
        <f>-F6*F19</f>
        <v>-506901299.679875</v>
      </c>
      <c r="G11" s="18">
        <f>-G6*G19</f>
        <v>-515595534.7445482</v>
      </c>
      <c r="H11" s="18">
        <f>-H6*H19</f>
        <v>-522530184.93963426</v>
      </c>
      <c r="I11" s="18">
        <f>-I6*I19</f>
        <v>-527615478.4394713</v>
      </c>
      <c r="J11" s="18">
        <f>-J6*J19</f>
        <v>-530779858.848599</v>
      </c>
      <c r="K11" s="18">
        <f>-K6*K19</f>
        <v>-531971477.6627352</v>
      </c>
    </row>
    <row r="12" spans="1:11" x14ac:dyDescent="0.25">
      <c r="A12" t="s">
        <v>55</v>
      </c>
      <c r="B12" s="18">
        <f>-(B6-Assumptions!B29)*Assumptions!B11</f>
        <v>-107546681.32248168</v>
      </c>
      <c r="C12" s="18">
        <f>-(C6-B6)*Assumptions!B11</f>
        <v>-83505843.99147776</v>
      </c>
      <c r="D12" s="18">
        <f>-(D6-C6)*Assumptions!B11</f>
        <v>-82155022.01239093</v>
      </c>
      <c r="E12" s="18">
        <f>-(E6-D6)*Assumptions!B11</f>
        <v>-80187181.88416372</v>
      </c>
      <c r="F12" s="18">
        <f>-(F6-E6)*Assumptions!B11</f>
        <v>-77590120.11600275</v>
      </c>
      <c r="G12" s="18">
        <f>-(G6-F6)*Assumptions!B11</f>
        <v>-74359385.7704727</v>
      </c>
      <c r="H12" s="18">
        <f>-(H6-G6)*Assumptions!B11</f>
        <v>-70498754.96604037</v>
      </c>
      <c r="I12" s="18">
        <f>-(I6-H6)*Assumptions!B11</f>
        <v>-66020565.477922656</v>
      </c>
      <c r="J12" s="18">
        <f>-(J6-I6)*Assumptions!B11</f>
        <v>-60945896.41101286</v>
      </c>
      <c r="K12" s="18">
        <f>-(K6-J6)*Assumptions!B11</f>
        <v>-55304581.27067565</v>
      </c>
    </row>
    <row r="13" spans="1:11" x14ac:dyDescent="0.25">
      <c r="A13" s="19" t="s">
        <v>56</v>
      </c>
      <c r="B13" s="20">
        <f>B9+B10+B11+B12</f>
        <v>1257580478.9941664</v>
      </c>
      <c r="C13" s="20">
        <f>C9+C10+C11+C12</f>
        <v>1361180695.1206563</v>
      </c>
      <c r="D13" s="20">
        <f>D9+D10+D11+D12</f>
        <v>1441825634.2792222</v>
      </c>
      <c r="E13" s="20">
        <f>E9+E10+E11+E12</f>
        <v>1522269950.9827704</v>
      </c>
      <c r="F13" s="20">
        <f>F9+F10+F11+F12</f>
        <v>1601949760.3081257</v>
      </c>
      <c r="G13" s="20">
        <f>G9+G10+G11+G12</f>
        <v>1680276142.1070879</v>
      </c>
      <c r="H13" s="20">
        <f>H9+H10+H11+H12</f>
        <v>1756641756.7998955</v>
      </c>
      <c r="I13" s="20">
        <f>I9+I10+I11+I12</f>
        <v>1830428158.9724443</v>
      </c>
      <c r="J13" s="20">
        <f>J9+J10+J11+J12</f>
        <v>1901013698.8756077</v>
      </c>
      <c r="K13" s="20">
        <f>K9+K10+K11+K12</f>
        <v>1967781881.555189</v>
      </c>
    </row>
    <row r="14" spans="1:11" x14ac:dyDescent="0.25">
      <c r="A14" t="s">
        <v>57</v>
      </c>
      <c r="B14" s="21">
        <f>1/(1+Assumptions!$B$26)^(1-0.5*Assumptions!$B$32)</f>
        <v>0.9603524007685057</v>
      </c>
      <c r="C14" s="21">
        <f>1/(1+Assumptions!$B$26)^(2-0.5*Assumptions!$B$32)</f>
        <v>0.8857106753450769</v>
      </c>
      <c r="D14" s="21">
        <f>1/(1+Assumptions!$B$26)^(3-0.5*Assumptions!$B$32)</f>
        <v>0.8168703486266734</v>
      </c>
      <c r="E14" s="21">
        <f>1/(1+Assumptions!$B$26)^(4-0.5*Assumptions!$B$32)</f>
        <v>0.7533805169566109</v>
      </c>
      <c r="F14" s="21">
        <f>1/(1+Assumptions!$B$26)^(5-0.5*Assumptions!$B$32)</f>
        <v>0.694825322383206</v>
      </c>
      <c r="G14" s="21">
        <f>1/(1+Assumptions!$B$26)^(6-0.5*Assumptions!$B$32)</f>
        <v>0.6408212287931132</v>
      </c>
      <c r="H14" s="21">
        <f>1/(1+Assumptions!$B$26)^(7-0.5*Assumptions!$B$32)</f>
        <v>0.5910145097524744</v>
      </c>
      <c r="I14" s="21">
        <f>1/(1+Assumptions!$B$26)^(8-0.5*Assumptions!$B$32)</f>
        <v>0.5450789316012614</v>
      </c>
      <c r="J14" s="21">
        <f>1/(1+Assumptions!$B$26)^(9-0.5*Assumptions!$B$32)</f>
        <v>0.502713616625093</v>
      </c>
      <c r="K14" s="21">
        <f>1/(1+Assumptions!$B$26)^(10-0.5*Assumptions!$B$32)</f>
        <v>0.46364107230831747</v>
      </c>
    </row>
    <row r="15" spans="1:11" x14ac:dyDescent="0.25">
      <c r="A15" s="19" t="s">
        <v>58</v>
      </c>
      <c r="B15" s="20">
        <f>B13*B14</f>
        <v>1207720432.161655</v>
      </c>
      <c r="C15" s="20">
        <f>C13*C14</f>
        <v>1205612272.7419977</v>
      </c>
      <c r="D15" s="20">
        <f>D13*D14</f>
        <v>1177784608.5325427</v>
      </c>
      <c r="E15" s="20">
        <f>E13*E14</f>
        <v>1146848522.6189144</v>
      </c>
      <c r="F15" s="20">
        <f>F13*F14</f>
        <v>1113075258.647793</v>
      </c>
      <c r="G15" s="20">
        <f>G13*G14</f>
        <v>1076756622.0968158</v>
      </c>
      <c r="H15" s="20">
        <f>H13*H14</f>
        <v>1038200766.7058156</v>
      </c>
      <c r="I15" s="20">
        <f>I13*I14</f>
        <v>997727825.2655638</v>
      </c>
      <c r="J15" s="20">
        <f>J13*J14</f>
        <v>955665471.8156022</v>
      </c>
      <c r="K15" s="20">
        <f>K13*K14</f>
        <v>912344501.6331264</v>
      </c>
    </row>
    <row r="17" spans="1:2" x14ac:dyDescent="0.25">
      <c r="A17" s="22" t="s">
        <v>59</v>
      </c>
      <c r="B17" s="23">
        <f>SUM(B15:K15)</f>
        <v>10831736282.219826</v>
      </c>
    </row>
    <row r="19" spans="1:11" x14ac:dyDescent="0.25">
      <c r="A19" t="s">
        <v>7</v>
      </c>
      <c r="B19" s="9">
        <f>Assumptions!$B$10+($B$20-Assumptions!$B$10)*0/9</f>
        <v>0.03441261684658914</v>
      </c>
      <c r="C19" s="9">
        <f>Assumptions!$B$10+($B$20-Assumptions!$B$10)*1/9</f>
        <v>0.033763874382688894</v>
      </c>
      <c r="D19" s="9">
        <f>Assumptions!$B$10+($B$20-Assumptions!$B$10)*2/9</f>
        <v>0.03311513191878864</v>
      </c>
      <c r="E19" s="9">
        <f>Assumptions!$B$10+($B$20-Assumptions!$B$10)*3/9</f>
        <v>0.032466389454888396</v>
      </c>
      <c r="F19" s="9">
        <f>Assumptions!$B$10+($B$20-Assumptions!$B$10)*4/9</f>
        <v>0.031817646990988144</v>
      </c>
      <c r="G19" s="9">
        <f>Assumptions!$B$10+($B$20-Assumptions!$B$10)*5/9</f>
        <v>0.0311689045270879</v>
      </c>
      <c r="H19" s="9">
        <f>Assumptions!$B$10+($B$20-Assumptions!$B$10)*6/9</f>
        <v>0.03052016206318765</v>
      </c>
      <c r="I19" s="9">
        <f>Assumptions!$B$10+($B$20-Assumptions!$B$10)*7/9</f>
        <v>0.0298714195992874</v>
      </c>
      <c r="J19" s="9">
        <f>Assumptions!$B$10+($B$20-Assumptions!$B$10)*8/9</f>
        <v>0.029222677135387155</v>
      </c>
      <c r="K19" s="9">
        <f>Assumptions!$B$10+($B$20-Assumptions!$B$10)*9/9</f>
        <v>0.028573934671486906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0.028573934671486906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1967781881.555189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2120750744.631349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0.04605174938767343</v>
      </c>
    </row>
    <row r="7" spans="1:2" x14ac:dyDescent="0.25">
      <c r="A7" t="s">
        <v>66</v>
      </c>
      <c r="B7" s="18">
        <f>-MAX(B5,0)*B6</f>
        <v>-97664281.8054847</v>
      </c>
    </row>
    <row r="8" spans="1:2" x14ac:dyDescent="0.25">
      <c r="A8" t="s">
        <v>67</v>
      </c>
      <c r="B8" s="18">
        <f>IF(OR(Assumptions!$B$33=0,Assumptions!B12&lt;=0),B5,MAX(B5+B7,0))</f>
        <v>2023086462.8258643</v>
      </c>
    </row>
    <row r="9" spans="1:2" x14ac:dyDescent="0.25">
      <c r="A9" t="s">
        <v>68</v>
      </c>
      <c r="B9" s="18">
        <f>B8*(1+Assumptions!B12)/(Assumptions!B26-Assumptions!B12)</f>
        <v>34984808466.44396</v>
      </c>
    </row>
    <row r="10" spans="1:2" x14ac:dyDescent="0.25">
      <c r="A10" t="s">
        <v>69</v>
      </c>
      <c r="B10" s="18">
        <f>B9/(1+Assumptions!B26)^(10-0.5*Assumptions!B32)</f>
        <v>16220394111.883183</v>
      </c>
    </row>
    <row r="11" spans="1:2" x14ac:dyDescent="0.25">
      <c r="A11" t="s">
        <v>70</v>
      </c>
      <c r="B11" s="18">
        <f>Forecast!B17+B10</f>
        <v>27052130394.10301</v>
      </c>
    </row>
    <row r="12" spans="1:2" x14ac:dyDescent="0.25">
      <c r="A12" t="s">
        <v>71</v>
      </c>
      <c r="B12" s="18">
        <f>-Assumptions!B30</f>
        <v>-1687818000</v>
      </c>
    </row>
    <row r="13" spans="1:2" x14ac:dyDescent="0.25">
      <c r="A13" t="s">
        <v>72</v>
      </c>
      <c r="B13" s="18">
        <f>B11+B12</f>
        <v>25364312394.10301</v>
      </c>
    </row>
    <row r="14" spans="1:2" x14ac:dyDescent="0.25">
      <c r="A14" s="19" t="s">
        <v>73</v>
      </c>
      <c r="B14" s="24">
        <f>B13/Assumptions!B31</f>
        <v>563.7641393634951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3118801809.3146544</v>
      </c>
    </row>
    <row r="18" spans="1:2" x14ac:dyDescent="0.25">
      <c r="A18" t="s">
        <v>68</v>
      </c>
      <c r="B18" s="18">
        <f>B17*Assumptions!B13</f>
        <v>49019991263.82834</v>
      </c>
    </row>
    <row r="19" spans="1:2" x14ac:dyDescent="0.25">
      <c r="A19" t="s">
        <v>69</v>
      </c>
      <c r="B19" s="18">
        <f>B18/(1+Assumptions!B26)^(10-0.5*Assumptions!B32)</f>
        <v>22727681314.105724</v>
      </c>
    </row>
    <row r="20" spans="1:2" x14ac:dyDescent="0.25">
      <c r="A20" t="s">
        <v>70</v>
      </c>
      <c r="B20" s="18">
        <f>Forecast!B17+B19</f>
        <v>33559417596.32555</v>
      </c>
    </row>
    <row r="21" spans="1:2" x14ac:dyDescent="0.25">
      <c r="A21" t="s">
        <v>71</v>
      </c>
      <c r="B21" s="18">
        <f>-Assumptions!B30</f>
        <v>-1687818000</v>
      </c>
    </row>
    <row r="22" spans="1:2" x14ac:dyDescent="0.25">
      <c r="A22" t="s">
        <v>72</v>
      </c>
      <c r="B22" s="18">
        <f>B20+B21</f>
        <v>31871599596.32555</v>
      </c>
    </row>
    <row r="23" spans="1:2" x14ac:dyDescent="0.25">
      <c r="A23" s="19" t="s">
        <v>73</v>
      </c>
      <c r="B23" s="25">
        <f>B22/Assumptions!B31</f>
        <v>708.3994486969739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640.43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563.7641393634951</v>
      </c>
    </row>
    <row r="29" spans="1:2" x14ac:dyDescent="0.25">
      <c r="A29" s="19" t="s">
        <v>81</v>
      </c>
      <c r="B29" s="11">
        <f>B28/B26-1</f>
        <v>-0.11970997710367226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0.064273</v>
      </c>
      <c r="B5" s="31">
        <v>750.8876932362122</v>
      </c>
      <c r="C5" s="31">
        <v>805.9103299577464</v>
      </c>
      <c r="D5" s="31">
        <v>875.2158187940548</v>
      </c>
      <c r="E5" s="31">
        <v>965.0552256489575</v>
      </c>
      <c r="F5" s="31">
        <v>1085.9504912281875</v>
      </c>
    </row>
    <row r="6" spans="1:6" x14ac:dyDescent="0.25">
      <c r="A6" s="30">
        <v>0.074273</v>
      </c>
      <c r="B6" s="31">
        <v>613.9827503178755</v>
      </c>
      <c r="C6" s="31">
        <v>647.3682766856372</v>
      </c>
      <c r="D6" s="31">
        <v>687.7347281533044</v>
      </c>
      <c r="E6" s="31">
        <v>737.4472906468052</v>
      </c>
      <c r="F6" s="31">
        <v>800.0756345602395</v>
      </c>
    </row>
    <row r="7" spans="1:6" x14ac:dyDescent="0.25">
      <c r="A7" s="30">
        <v>0.084273</v>
      </c>
      <c r="B7" s="31">
        <v>516.9276585386978</v>
      </c>
      <c r="C7" s="31">
        <v>538.4509160780925</v>
      </c>
      <c r="D7" s="32">
        <v>563.7668086062386</v>
      </c>
      <c r="E7" s="31">
        <v>593.9235465561555</v>
      </c>
      <c r="F7" s="31">
        <v>630.3948108753514</v>
      </c>
    </row>
    <row r="8" spans="1:6" x14ac:dyDescent="0.25">
      <c r="A8" s="30">
        <v>0.094273</v>
      </c>
      <c r="B8" s="31">
        <v>444.6187621289024</v>
      </c>
      <c r="C8" s="31">
        <v>459.09342228634137</v>
      </c>
      <c r="D8" s="31">
        <v>475.78835110476416</v>
      </c>
      <c r="E8" s="31">
        <v>495.22171375328924</v>
      </c>
      <c r="F8" s="31">
        <v>518.0865156045409</v>
      </c>
    </row>
    <row r="9" spans="1:6" x14ac:dyDescent="0.25">
      <c r="A9" s="30">
        <v>0.104273</v>
      </c>
      <c r="B9" s="31">
        <v>388.72168380280857</v>
      </c>
      <c r="C9" s="31">
        <v>398.75639278072987</v>
      </c>
      <c r="D9" s="31">
        <v>410.16520574628436</v>
      </c>
      <c r="E9" s="31">
        <v>423.22563350170867</v>
      </c>
      <c r="F9" s="31">
        <v>438.29530776279444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12392820000</v>
      </c>
      <c r="C5" s="18">
        <v>11295654000</v>
      </c>
      <c r="D5" s="18">
        <v>11207303000</v>
      </c>
      <c r="E5" s="18">
        <v>10208580000</v>
      </c>
      <c r="F5" s="6" t="s">
        <v>91</v>
      </c>
    </row>
    <row r="6" spans="1:6" x14ac:dyDescent="0.25">
      <c r="A6" t="s">
        <v>51</v>
      </c>
      <c r="B6" s="18">
        <v>1548813000</v>
      </c>
      <c r="C6" s="18">
        <v>1578661000</v>
      </c>
      <c r="D6" s="18">
        <v>1686539000</v>
      </c>
      <c r="E6" s="18">
        <v>1649211000</v>
      </c>
      <c r="F6" s="6" t="s">
        <v>92</v>
      </c>
    </row>
    <row r="7" spans="1:6" x14ac:dyDescent="0.25">
      <c r="A7" t="s">
        <v>93</v>
      </c>
      <c r="B7" s="18">
        <v>300772000</v>
      </c>
      <c r="C7" s="18">
        <v>267042000</v>
      </c>
      <c r="D7" s="18">
        <v>243840000</v>
      </c>
      <c r="E7" s="18">
        <v>241372000</v>
      </c>
      <c r="F7" s="6" t="s">
        <v>94</v>
      </c>
    </row>
    <row r="8" spans="1:6" x14ac:dyDescent="0.25">
      <c r="A8" t="s">
        <v>95</v>
      </c>
      <c r="B8" s="18">
        <v>434829000</v>
      </c>
      <c r="C8" s="18">
        <v>374458000</v>
      </c>
      <c r="D8" s="18">
        <v>435267000</v>
      </c>
      <c r="E8" s="18">
        <v>312126000</v>
      </c>
      <c r="F8" s="6" t="s">
        <v>96</v>
      </c>
    </row>
    <row r="9" spans="1:6" x14ac:dyDescent="0.25">
      <c r="A9" t="s">
        <v>97</v>
      </c>
      <c r="B9" s="18">
        <v>351795000</v>
      </c>
      <c r="C9" s="18">
        <v>451216000</v>
      </c>
      <c r="D9" s="18">
        <v>481573000</v>
      </c>
      <c r="E9" s="18">
        <v>369162000</v>
      </c>
      <c r="F9" s="6" t="s">
        <v>98</v>
      </c>
    </row>
    <row r="10" spans="1:6" x14ac:dyDescent="0.25">
      <c r="A10" t="s">
        <v>99</v>
      </c>
      <c r="B10" s="18">
        <v>2182061000</v>
      </c>
      <c r="C10" s="18">
        <v>1923234000</v>
      </c>
      <c r="D10" s="18">
        <v>1911092000</v>
      </c>
      <c r="E10" s="18">
        <v>1903176000</v>
      </c>
      <c r="F10" s="6" t="s">
        <v>100</v>
      </c>
    </row>
    <row r="11" spans="1:6" x14ac:dyDescent="0.25">
      <c r="A11" t="s">
        <v>101</v>
      </c>
      <c r="B11" s="18">
        <v>494243000</v>
      </c>
      <c r="C11" s="18">
        <v>703201000</v>
      </c>
      <c r="D11" s="18">
        <v>766594000</v>
      </c>
      <c r="E11" s="18">
        <v>737877000</v>
      </c>
      <c r="F11" s="6" t="s">
        <v>102</v>
      </c>
    </row>
    <row r="12" spans="1:6" x14ac:dyDescent="0.25">
      <c r="A12" t="s">
        <v>34</v>
      </c>
      <c r="B12" s="34">
        <v>44991000</v>
      </c>
      <c r="C12" s="34">
        <v>47404000</v>
      </c>
      <c r="D12" s="34">
        <v>49596000</v>
      </c>
      <c r="E12" s="34">
        <v>51738000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