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<sst xmlns="http://schemas.openxmlformats.org/spreadsheetml/2006/main" count="112" uniqueCount="100">
  <si>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Universal Music Group N.V. (UMG.AS)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</si>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</sst>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0.06547730538182472</v>
      </c>
    </row>
    <row r="7" spans="1:2" x14ac:dyDescent="0.25">
      <c r="A7" t="s">
        <v>5</v>
      </c>
      <c r="B7" s="6">
        <v>0.15475853067110798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0.035267860200075885</v>
      </c>
    </row>
    <row r="10" spans="1:2" x14ac:dyDescent="0.25">
      <c r="A10" t="s">
        <v>8</v>
      </c>
      <c r="B10" s="6">
        <v>0.03793715398671678</v>
      </c>
    </row>
    <row r="11" spans="1:2" x14ac:dyDescent="0.25">
      <c r="A11" t="s">
        <v>9</v>
      </c>
      <c r="B11" s="6">
        <v>-0.05646359583952452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11.537922300734442</v>
      </c>
    </row>
    <row r="14" spans="1:3" x14ac:dyDescent="0.25">
      <c r="A14" t="s">
        <v>12</v>
      </c>
      <c r="B14" s="6">
        <v>0.21310444920392274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0.85126</v>
      </c>
      <c r="C19" s="8" t="s">
        <v>19</v>
      </c>
    </row>
    <row r="20" spans="1:2" x14ac:dyDescent="0.25">
      <c r="A20" t="s">
        <v>20</v>
      </c>
      <c r="B20" s="10">
        <f>B17+B19*B18</f>
        <v>0.0973319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26523604992</v>
      </c>
    </row>
    <row r="23" spans="1:2" x14ac:dyDescent="0.25">
      <c r="A23" t="s">
        <v>24</v>
      </c>
      <c r="B23" s="11">
        <v>3407000000</v>
      </c>
    </row>
    <row r="24" spans="1:2" x14ac:dyDescent="0.25">
      <c r="A24" t="s">
        <v>25</v>
      </c>
      <c r="B24" s="10">
        <f>B22/(B22+B23)</f>
        <v>0.8861700256005303</v>
      </c>
    </row>
    <row r="25" spans="1:2" x14ac:dyDescent="0.25">
      <c r="A25" t="s">
        <v>26</v>
      </c>
      <c r="B25" s="10">
        <f>1-B24</f>
        <v>0.11382997439946974</v>
      </c>
    </row>
    <row r="26" spans="1:2" x14ac:dyDescent="0.25">
      <c r="A26" t="s">
        <v>27</v>
      </c>
      <c r="B26" s="12">
        <f>B24*B20+B25*B21*(1-B8)</f>
        <v>0.08983825650833155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12507000000</v>
      </c>
      <c r="C29" s="8" t="s">
        <v>30</v>
      </c>
    </row>
    <row r="30" spans="1:2" x14ac:dyDescent="0.25">
      <c r="A30" t="s">
        <v>31</v>
      </c>
      <c r="B30" s="11">
        <v>3325000000</v>
      </c>
    </row>
    <row r="31" spans="1:2" x14ac:dyDescent="0.25">
      <c r="A31" t="s">
        <v>32</v>
      </c>
      <c r="B31" s="13">
        <v>1853000000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0.06547730538182472</v>
      </c>
      <c r="C5" s="10">
        <f>Assumptions!B6</f>
        <v>0.06547730538182472</v>
      </c>
      <c r="D5" s="10">
        <f>Assumptions!B6</f>
        <v>0.06547730538182472</v>
      </c>
      <c r="E5" s="10">
        <f>Assumptions!B6</f>
        <v>0.06547730538182472</v>
      </c>
      <c r="F5" s="10">
        <f>Assumptions!B6</f>
        <v>0.06547730538182472</v>
      </c>
    </row>
    <row r="6" spans="1:6" x14ac:dyDescent="0.25">
      <c r="A6" t="s">
        <v>43</v>
      </c>
      <c r="B6" s="18">
        <f>Assumptions!B29*(1+B5)</f>
        <v>13325924658.410482</v>
      </c>
      <c r="C6" s="18">
        <f>B6*(1+C5)</f>
        <v>14198470296.764414</v>
      </c>
      <c r="D6" s="18">
        <f>C6*(1+D5)</f>
        <v>15128147872.340425</v>
      </c>
      <c r="E6" s="18">
        <f>D6*(1+E5)</f>
        <v>16118698230.439062</v>
      </c>
      <c r="F6" s="18">
        <f>E6*(1+F5)</f>
        <v>17174107156.830997</v>
      </c>
    </row>
    <row r="7" spans="1:6" x14ac:dyDescent="0.25">
      <c r="A7" t="s">
        <v>5</v>
      </c>
      <c r="B7" s="10">
        <f>Assumptions!B7</f>
        <v>0.15475853067110798</v>
      </c>
      <c r="C7" s="10">
        <f>Assumptions!B7</f>
        <v>0.15475853067110798</v>
      </c>
      <c r="D7" s="10">
        <f>Assumptions!B7</f>
        <v>0.15475853067110798</v>
      </c>
      <c r="E7" s="10">
        <f>Assumptions!B7</f>
        <v>0.15475853067110798</v>
      </c>
      <c r="F7" s="10">
        <f>Assumptions!B7</f>
        <v>0.15475853067110798</v>
      </c>
    </row>
    <row r="8" spans="1:6" x14ac:dyDescent="0.25">
      <c r="A8" t="s">
        <v>44</v>
      </c>
      <c r="B8" s="18">
        <f>B6*B7</f>
        <v>2062300519.9694927</v>
      </c>
      <c r="C8" s="18">
        <f>C6*C7</f>
        <v>2197334400.904631</v>
      </c>
      <c r="D8" s="18">
        <f>D6*D7</f>
        <v>2341209936.4986525</v>
      </c>
      <c r="E8" s="18">
        <f>E6*E7</f>
        <v>2494506054.4737377</v>
      </c>
      <c r="F8" s="18">
        <f>F6*F7</f>
        <v>2657839589.179325</v>
      </c>
    </row>
    <row r="9" spans="1:6" x14ac:dyDescent="0.25">
      <c r="A9" t="s">
        <v>45</v>
      </c>
      <c r="B9" s="18">
        <f>B8*(1-Assumptions!B8)</f>
        <v>1546725389.9771194</v>
      </c>
      <c r="C9" s="18">
        <f>C8*(1-Assumptions!B8)</f>
        <v>1648000800.6784735</v>
      </c>
      <c r="D9" s="18">
        <f>D8*(1-Assumptions!B8)</f>
        <v>1755907452.3739893</v>
      </c>
      <c r="E9" s="18">
        <f>E8*(1-Assumptions!B8)</f>
        <v>1870879540.8553033</v>
      </c>
      <c r="F9" s="18">
        <f>F8*(1-Assumptions!B8)</f>
        <v>1993379691.8844938</v>
      </c>
    </row>
    <row r="10" spans="1:6" x14ac:dyDescent="0.25">
      <c r="A10" t="s">
        <v>46</v>
      </c>
      <c r="B10" s="18">
        <f>B6*Assumptions!B9</f>
        <v>469976847.8895649</v>
      </c>
      <c r="C10" s="18">
        <f>C6*Assumptions!B9</f>
        <v>500749665.4812173</v>
      </c>
      <c r="D10" s="18">
        <f>D6*Assumptions!B9</f>
        <v>533537404.2477776</v>
      </c>
      <c r="E10" s="18">
        <f>E6*Assumptions!B9</f>
        <v>568471995.7983354</v>
      </c>
      <c r="F10" s="18">
        <f>F6*Assumptions!B9</f>
        <v>605694010.2682383</v>
      </c>
    </row>
    <row r="11" spans="1:6" x14ac:dyDescent="0.25">
      <c r="A11" t="s">
        <v>47</v>
      </c>
      <c r="B11" s="18">
        <f>-B6*Assumptions!B10</f>
        <v>-505547655.7815047</v>
      </c>
      <c r="C11" s="18">
        <f>-C6*Assumptions!B10</f>
        <v>-538649554.0241759</v>
      </c>
      <c r="D11" s="18">
        <f>-D6*Assumptions!B10</f>
        <v>-573918875.3668005</v>
      </c>
      <c r="E11" s="18">
        <f>-E6*Assumptions!B10</f>
        <v>-611497536.833586</v>
      </c>
      <c r="F11" s="18">
        <f>-F6*Assumptions!B10</f>
        <v>-651536747.7930722</v>
      </c>
    </row>
    <row r="12" spans="1:6" x14ac:dyDescent="0.25">
      <c r="A12" t="s">
        <v>48</v>
      </c>
      <c r="B12" s="18">
        <f>-(B6-Assumptions!B29)*Assumptions!B11</f>
        <v>46239430.93551015</v>
      </c>
      <c r="C12" s="18">
        <f>-(C6-B6)*Assumptions!B11</f>
        <v>49267064.2755563</v>
      </c>
      <c r="D12" s="18">
        <f>-(D6-C6)*Assumptions!B11</f>
        <v>52492938.88839293</v>
      </c>
      <c r="E12" s="18">
        <f>-(E6-D6)*Assumptions!B11</f>
        <v>55930035.0783777</v>
      </c>
      <c r="F12" s="18">
        <f>-(F6-E6)*Assumptions!B11</f>
        <v>59592183.06522072</v>
      </c>
    </row>
    <row r="13" spans="1:6" x14ac:dyDescent="0.25">
      <c r="A13" s="19" t="s">
        <v>49</v>
      </c>
      <c r="B13" s="20">
        <f>B9+B10+B11+B12</f>
        <v>1557394013.02069</v>
      </c>
      <c r="C13" s="20">
        <f>C9+C10+C11+C12</f>
        <v>1659367976.4110713</v>
      </c>
      <c r="D13" s="20">
        <f>D9+D10+D11+D12</f>
        <v>1768018920.1433594</v>
      </c>
      <c r="E13" s="20">
        <f>E9+E10+E11+E12</f>
        <v>1883784034.8984306</v>
      </c>
      <c r="F13" s="20">
        <f>F9+F10+F11+F12</f>
        <v>2007129137.4248805</v>
      </c>
    </row>
    <row r="14" spans="1:6" x14ac:dyDescent="0.25">
      <c r="A14" t="s">
        <v>50</v>
      </c>
      <c r="B14" s="21">
        <f>1/(1+Assumptions!$B$26)^(1-0.5*Assumptions!$B$32)</f>
        <v>0.9578973583456559</v>
      </c>
      <c r="C14" s="21">
        <f>1/(1+Assumptions!$B$26)^(2-0.5*Assumptions!$B$32)</f>
        <v>0.8789353398316248</v>
      </c>
      <c r="D14" s="21">
        <f>1/(1+Assumptions!$B$26)^(3-0.5*Assumptions!$B$32)</f>
        <v>0.8064823698220999</v>
      </c>
      <c r="E14" s="21">
        <f>1/(1+Assumptions!$B$26)^(4-0.5*Assumptions!$B$32)</f>
        <v>0.7400018901941845</v>
      </c>
      <c r="F14" s="21">
        <f>1/(1+Assumptions!$B$26)^(5-0.5*Assumptions!$B$32)</f>
        <v>0.6790015727334008</v>
      </c>
    </row>
    <row r="15" spans="1:6" x14ac:dyDescent="0.25">
      <c r="A15" s="19" t="s">
        <v>51</v>
      </c>
      <c r="B15" s="20">
        <f>B13*B14</f>
        <v>1491823610.975859</v>
      </c>
      <c r="C15" s="20">
        <f>C13*C14</f>
        <v>1458477156.2525804</v>
      </c>
      <c r="D15" s="20">
        <f>D13*D14</f>
        <v>1425876088.6075265</v>
      </c>
      <c r="E15" s="20">
        <f>E13*E14</f>
        <v>1394003746.5424662</v>
      </c>
      <c r="F15" s="20">
        <f>F13*F14</f>
        <v>1362843840.9905279</v>
      </c>
    </row>
    <row r="17" spans="1:2" x14ac:dyDescent="0.25">
      <c r="A17" s="22" t="s">
        <v>52</v>
      </c>
      <c r="B17" s="23">
        <f>SUM(B15:F15)</f>
        <v>7133024443.36896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2007129137.4248805</v>
      </c>
    </row>
    <row r="5" spans="1:2" x14ac:dyDescent="0.25">
      <c r="A5" t="s">
        <v>56</v>
      </c>
      <c r="B5" s="18">
        <f>IF(Assumptions!$B$33=0,B4,B4-Forecast!F11-Forecast!F10-Forecast!F12)</f>
        <v>2073390498.9934244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0.11731336484709964</v>
      </c>
    </row>
    <row r="7" spans="1:2" x14ac:dyDescent="0.25">
      <c r="A7" t="s">
        <v>58</v>
      </c>
      <c r="B7" s="18">
        <f>-MAX(Forecast!F9,0)*B6</f>
        <v>-243236416.07892558</v>
      </c>
    </row>
    <row r="8" spans="1:2" x14ac:dyDescent="0.25">
      <c r="A8" t="s">
        <v>59</v>
      </c>
      <c r="B8" s="18">
        <f>IF(OR(Assumptions!$B$33=0,Assumptions!B12&lt;=0),B5,MAX(B5+B7,0))</f>
        <v>1830154082.9144988</v>
      </c>
    </row>
    <row r="9" spans="1:2" x14ac:dyDescent="0.25">
      <c r="A9" t="s">
        <v>60</v>
      </c>
      <c r="B9" s="18">
        <f>B8*(1+Assumptions!B12)/(Assumptions!B26-Assumptions!B12)</f>
        <v>28932115636.797108</v>
      </c>
    </row>
    <row r="10" spans="1:2" x14ac:dyDescent="0.25">
      <c r="A10" t="s">
        <v>61</v>
      </c>
      <c r="B10" s="18">
        <f>B9/(1+Assumptions!B26)^(5-0.5*Assumptions!B32)</f>
        <v>19644952019.889854</v>
      </c>
    </row>
    <row r="11" spans="1:2" x14ac:dyDescent="0.25">
      <c r="A11" t="s">
        <v>62</v>
      </c>
      <c r="B11" s="18">
        <f>Forecast!B17+B10</f>
        <v>26777976463.258816</v>
      </c>
    </row>
    <row r="12" spans="1:2" x14ac:dyDescent="0.25">
      <c r="A12" t="s">
        <v>63</v>
      </c>
      <c r="B12" s="18">
        <f>-Assumptions!B30</f>
        <v>-3325000000</v>
      </c>
    </row>
    <row r="13" spans="1:2" x14ac:dyDescent="0.25">
      <c r="A13" t="s">
        <v>64</v>
      </c>
      <c r="B13" s="18">
        <f>B11+B12</f>
        <v>23452976463.258816</v>
      </c>
    </row>
    <row r="14" spans="1:2" x14ac:dyDescent="0.25">
      <c r="A14" s="19" t="s">
        <v>65</v>
      </c>
      <c r="B14" s="24">
        <f>B13/Assumptions!B31</f>
        <v>12.656760098898443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3263533599.447563</v>
      </c>
    </row>
    <row r="18" spans="1:2" x14ac:dyDescent="0.25">
      <c r="A18" t="s">
        <v>60</v>
      </c>
      <c r="B18" s="18">
        <f>B17*Assumptions!B13</f>
        <v>37654397096.262184</v>
      </c>
    </row>
    <row r="19" spans="1:2" x14ac:dyDescent="0.25">
      <c r="A19" t="s">
        <v>61</v>
      </c>
      <c r="B19" s="18">
        <f>B18/(1+Assumptions!B26)^(5-0.5*Assumptions!B32)</f>
        <v>25567394848.69002</v>
      </c>
    </row>
    <row r="20" spans="1:2" x14ac:dyDescent="0.25">
      <c r="A20" t="s">
        <v>62</v>
      </c>
      <c r="B20" s="18">
        <f>Forecast!B17+B19</f>
        <v>32700419292.058983</v>
      </c>
    </row>
    <row r="21" spans="1:2" x14ac:dyDescent="0.25">
      <c r="A21" t="s">
        <v>63</v>
      </c>
      <c r="B21" s="18">
        <f>-Assumptions!B30</f>
        <v>-3325000000</v>
      </c>
    </row>
    <row r="22" spans="1:2" x14ac:dyDescent="0.25">
      <c r="A22" t="s">
        <v>64</v>
      </c>
      <c r="B22" s="18">
        <f>B20+B21</f>
        <v>29375419292.058983</v>
      </c>
    </row>
    <row r="23" spans="1:2" x14ac:dyDescent="0.25">
      <c r="A23" s="19" t="s">
        <v>65</v>
      </c>
      <c r="B23" s="25">
        <f>B22/Assumptions!B31</f>
        <v>15.852897621186715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12.656760098898443</v>
      </c>
    </row>
    <row r="29" spans="1:2" x14ac:dyDescent="0.25">
      <c r="A29" s="19" t="s">
        <v>73</v>
      </c>
      <c r="B29" s="12">
        <f>B28/B26-1</f>
        <v>-0.14191456956620718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0.069838</v>
      </c>
      <c r="B5" s="31">
        <v>16.444416481025037</v>
      </c>
      <c r="C5" s="31">
        <v>17.550398665781838</v>
      </c>
      <c r="D5" s="31">
        <v>18.89872143709903</v>
      </c>
      <c r="E5" s="31">
        <v>20.580632066385956</v>
      </c>
      <c r="F5" s="31">
        <v>22.739761584974673</v>
      </c>
    </row>
    <row r="6" spans="1:6" x14ac:dyDescent="0.25">
      <c r="A6" s="30">
        <v>0.079838</v>
      </c>
      <c r="B6" s="31">
        <v>13.66820811694394</v>
      </c>
      <c r="C6" s="31">
        <v>14.375984256798276</v>
      </c>
      <c r="D6" s="31">
        <v>15.209438781068258</v>
      </c>
      <c r="E6" s="31">
        <v>16.206397761551198</v>
      </c>
      <c r="F6" s="31">
        <v>17.42155959789013</v>
      </c>
    </row>
    <row r="7" spans="1:6" x14ac:dyDescent="0.25">
      <c r="A7" s="30">
        <v>0.089838</v>
      </c>
      <c r="B7" s="31">
        <v>11.634112758786925</v>
      </c>
      <c r="C7" s="31">
        <v>12.110130543693357</v>
      </c>
      <c r="D7" s="32">
        <v>12.656815493529093</v>
      </c>
      <c r="E7" s="31">
        <v>13.291882229002383</v>
      </c>
      <c r="F7" s="31">
        <v>14.039506080806591</v>
      </c>
    </row>
    <row r="8" spans="1:6" x14ac:dyDescent="0.25">
      <c r="A8" s="30">
        <v>0.099838</v>
      </c>
      <c r="B8" s="31">
        <v>10.079705299910904</v>
      </c>
      <c r="C8" s="31">
        <v>10.41146792490986</v>
      </c>
      <c r="D8" s="31">
        <v>10.785275291931976</v>
      </c>
      <c r="E8" s="31">
        <v>11.210157887680012</v>
      </c>
      <c r="F8" s="31">
        <v>11.697931752606927</v>
      </c>
    </row>
    <row r="9" spans="1:6" x14ac:dyDescent="0.25">
      <c r="A9" s="30">
        <v>0.109838</v>
      </c>
      <c r="B9" s="31">
        <v>8.853243846957401</v>
      </c>
      <c r="C9" s="31">
        <v>9.090617879166166</v>
      </c>
      <c r="D9" s="31">
        <v>9.35403550832114</v>
      </c>
      <c r="E9" s="31">
        <v>9.64838981734265</v>
      </c>
      <c r="F9" s="31">
        <v>9.979881535779832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12507000000</v>
      </c>
      <c r="C5" s="18">
        <v>11834000000</v>
      </c>
      <c r="D5" s="18">
        <v>11108000000</v>
      </c>
      <c r="E5" s="18">
        <v>10340000000</v>
      </c>
      <c r="F5" s="8" t="s">
        <v>84</v>
      </c>
    </row>
    <row r="6" spans="1:6" x14ac:dyDescent="0.25">
      <c r="A6" t="s">
        <v>44</v>
      </c>
      <c r="B6" s="18">
        <v>2141000000</v>
      </c>
      <c r="C6" s="18">
        <v>1946000000</v>
      </c>
      <c r="D6" s="18">
        <v>1411000000</v>
      </c>
      <c r="E6" s="18">
        <v>1617000000</v>
      </c>
      <c r="F6" s="8" t="s">
        <v>85</v>
      </c>
    </row>
    <row r="7" spans="1:6" x14ac:dyDescent="0.25">
      <c r="A7" t="s">
        <v>86</v>
      </c>
      <c r="B7" s="18">
        <v>446000000</v>
      </c>
      <c r="C7" s="18">
        <v>409000000</v>
      </c>
      <c r="D7" s="18">
        <v>382000000</v>
      </c>
      <c r="E7" s="18">
        <v>377000000</v>
      </c>
      <c r="F7" s="8" t="s">
        <v>87</v>
      </c>
    </row>
    <row r="8" spans="1:6" x14ac:dyDescent="0.25">
      <c r="A8" t="s">
        <v>88</v>
      </c>
      <c r="B8" s="18">
        <v>540000000</v>
      </c>
      <c r="C8" s="18">
        <v>449000000</v>
      </c>
      <c r="D8" s="18">
        <v>299000000</v>
      </c>
      <c r="E8" s="18">
        <v>452000000</v>
      </c>
      <c r="F8" s="8" t="s">
        <v>89</v>
      </c>
    </row>
    <row r="9" spans="1:6" x14ac:dyDescent="0.25">
      <c r="A9" t="s">
        <v>90</v>
      </c>
      <c r="B9" s="18">
        <v>-38000000</v>
      </c>
      <c r="C9" s="18">
        <v>5000000</v>
      </c>
      <c r="D9" s="18">
        <v>-164000000</v>
      </c>
      <c r="E9" s="18">
        <v>33000000</v>
      </c>
      <c r="F9" s="8" t="s">
        <v>91</v>
      </c>
    </row>
    <row r="10" spans="1:6" x14ac:dyDescent="0.25">
      <c r="A10" t="s">
        <v>92</v>
      </c>
      <c r="B10" s="18">
        <v>3407000000</v>
      </c>
      <c r="C10" s="18">
        <v>3192000000</v>
      </c>
      <c r="D10" s="18">
        <v>2514000000</v>
      </c>
      <c r="E10" s="18">
        <v>2673000000</v>
      </c>
      <c r="F10" s="8" t="s">
        <v>93</v>
      </c>
    </row>
    <row r="11" spans="1:6" x14ac:dyDescent="0.25">
      <c r="A11" t="s">
        <v>94</v>
      </c>
      <c r="B11" s="18">
        <v>82000000</v>
      </c>
      <c r="C11" s="18">
        <v>114000000</v>
      </c>
      <c r="D11" s="18">
        <v>504000000</v>
      </c>
      <c r="E11" s="18">
        <v>439000000</v>
      </c>
      <c r="F11" s="8" t="s">
        <v>95</v>
      </c>
    </row>
    <row r="12" spans="1:6" x14ac:dyDescent="0.25">
      <c r="A12" t="s">
        <v>32</v>
      </c>
      <c r="B12" s="34">
        <v>1853000000</v>
      </c>
      <c r="C12" s="34">
        <v>1852000000</v>
      </c>
      <c r="D12" s="34">
        <v>1842000000</v>
      </c>
      <c r="E12" s="34">
        <v>1816000000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