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<sst xmlns="http://schemas.openxmlformats.org/spreadsheetml/2006/main" count="112" uniqueCount="100">
  <si>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Unilever PLC (UNA.AS)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</si>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</sst>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-0.05620149429302945</v>
      </c>
    </row>
    <row r="7" spans="1:2" x14ac:dyDescent="0.25">
      <c r="A7" t="s">
        <v>5</v>
      </c>
      <c r="B7" s="6">
        <v>0.18444049708797577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0.026875927770496466</v>
      </c>
    </row>
    <row r="10" spans="1:2" x14ac:dyDescent="0.25">
      <c r="A10" t="s">
        <v>8</v>
      </c>
      <c r="B10" s="6">
        <v>0.029618496704611367</v>
      </c>
    </row>
    <row r="11" spans="1:2" x14ac:dyDescent="0.25">
      <c r="A11" t="s">
        <v>9</v>
      </c>
      <c r="B11" s="6">
        <v>0.08971762182771358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12.101557792334495</v>
      </c>
    </row>
    <row r="14" spans="1:3" x14ac:dyDescent="0.25">
      <c r="A14" t="s">
        <v>12</v>
      </c>
      <c r="B14" s="6">
        <v>0.15761040878469632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0.63351</v>
      </c>
      <c r="C19" s="8" t="s">
        <v>19</v>
      </c>
    </row>
    <row r="20" spans="1:2" x14ac:dyDescent="0.25">
      <c r="A20" t="s">
        <v>20</v>
      </c>
      <c r="B20" s="10">
        <f>B17+B19*B18</f>
        <v>0.08317815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116340883456</v>
      </c>
    </row>
    <row r="23" spans="1:2" x14ac:dyDescent="0.25">
      <c r="A23" t="s">
        <v>24</v>
      </c>
      <c r="B23" s="11">
        <v>27597000000</v>
      </c>
    </row>
    <row r="24" spans="1:2" x14ac:dyDescent="0.25">
      <c r="A24" t="s">
        <v>25</v>
      </c>
      <c r="B24" s="10">
        <f>B22/(B22+B23)</f>
        <v>0.8082714617070491</v>
      </c>
    </row>
    <row r="25" spans="1:2" x14ac:dyDescent="0.25">
      <c r="A25" t="s">
        <v>26</v>
      </c>
      <c r="B25" s="10">
        <f>1-B24</f>
        <v>0.1917285382929509</v>
      </c>
    </row>
    <row r="26" spans="1:2" x14ac:dyDescent="0.25">
      <c r="A26" t="s">
        <v>27</v>
      </c>
      <c r="B26" s="12">
        <f>B24*B20+B25*B21*(1-B8)</f>
        <v>0.07326997383881614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50503000000</v>
      </c>
      <c r="C29" s="8" t="s">
        <v>30</v>
      </c>
    </row>
    <row r="30" spans="1:2" x14ac:dyDescent="0.25">
      <c r="A30" t="s">
        <v>31</v>
      </c>
      <c r="B30" s="11">
        <v>22585000000</v>
      </c>
    </row>
    <row r="31" spans="1:2" x14ac:dyDescent="0.25">
      <c r="A31" t="s">
        <v>32</v>
      </c>
      <c r="B31" s="13">
        <v>2195300000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-0.05620149429302945</v>
      </c>
      <c r="C5" s="10">
        <f>Assumptions!B6</f>
        <v>-0.05620149429302945</v>
      </c>
      <c r="D5" s="10">
        <f>Assumptions!B6</f>
        <v>-0.05620149429302945</v>
      </c>
      <c r="E5" s="10">
        <f>Assumptions!B6</f>
        <v>-0.05620149429302945</v>
      </c>
      <c r="F5" s="10">
        <f>Assumptions!B6</f>
        <v>-0.05620149429302945</v>
      </c>
    </row>
    <row r="6" spans="1:6" x14ac:dyDescent="0.25">
      <c r="A6" t="s">
        <v>43</v>
      </c>
      <c r="B6" s="18">
        <f>Assumptions!B29*(1+B5)</f>
        <v>47664655933.71913</v>
      </c>
      <c r="C6" s="18">
        <f>B6*(1+C5)</f>
        <v>44985831045.281006</v>
      </c>
      <c r="D6" s="18">
        <f>C6*(1+D5)</f>
        <v>42457560118.52246</v>
      </c>
      <c r="E6" s="18">
        <f>D6*(1+E5)</f>
        <v>40071381795.82536</v>
      </c>
      <c r="F6" s="18">
        <f>E6*(1+F5)</f>
        <v>37819310260.51348</v>
      </c>
    </row>
    <row r="7" spans="1:6" x14ac:dyDescent="0.25">
      <c r="A7" t="s">
        <v>5</v>
      </c>
      <c r="B7" s="10">
        <f>Assumptions!B7</f>
        <v>0.18444049708797577</v>
      </c>
      <c r="C7" s="10">
        <f>Assumptions!B7</f>
        <v>0.18444049708797577</v>
      </c>
      <c r="D7" s="10">
        <f>Assumptions!B7</f>
        <v>0.18444049708797577</v>
      </c>
      <c r="E7" s="10">
        <f>Assumptions!B7</f>
        <v>0.18444049708797577</v>
      </c>
      <c r="F7" s="10">
        <f>Assumptions!B7</f>
        <v>0.18444049708797577</v>
      </c>
    </row>
    <row r="8" spans="1:6" x14ac:dyDescent="0.25">
      <c r="A8" t="s">
        <v>44</v>
      </c>
      <c r="B8" s="18">
        <f>B6*B7</f>
        <v>8791292833.942492</v>
      </c>
      <c r="C8" s="18">
        <f>C6*C7</f>
        <v>8297209039.907322</v>
      </c>
      <c r="D8" s="18">
        <f>D6*D7</f>
        <v>7830893493.402899</v>
      </c>
      <c r="E8" s="18">
        <f>E6*E7</f>
        <v>7390785577.424093</v>
      </c>
      <c r="F8" s="18">
        <f>F6*F7</f>
        <v>6975412383.973489</v>
      </c>
    </row>
    <row r="9" spans="1:6" x14ac:dyDescent="0.25">
      <c r="A9" t="s">
        <v>45</v>
      </c>
      <c r="B9" s="18">
        <f>B8*(1-Assumptions!B8)</f>
        <v>6593469625.456869</v>
      </c>
      <c r="C9" s="18">
        <f>C8*(1-Assumptions!B8)</f>
        <v>6222906779.930491</v>
      </c>
      <c r="D9" s="18">
        <f>D8*(1-Assumptions!B8)</f>
        <v>5873170120.052174</v>
      </c>
      <c r="E9" s="18">
        <f>E8*(1-Assumptions!B8)</f>
        <v>5543089183.068069</v>
      </c>
      <c r="F9" s="18">
        <f>F8*(1-Assumptions!B8)</f>
        <v>5231559287.980117</v>
      </c>
    </row>
    <row r="10" spans="1:6" x14ac:dyDescent="0.25">
      <c r="A10" t="s">
        <v>46</v>
      </c>
      <c r="B10" s="18">
        <f>B6*Assumptions!B9</f>
        <v>1281031850.0802011</v>
      </c>
      <c r="C10" s="18">
        <f>C6*Assumptions!B9</f>
        <v>1209035945.8687298</v>
      </c>
      <c r="D10" s="18">
        <f>D6*Assumptions!B9</f>
        <v>1141086319.056921</v>
      </c>
      <c r="E10" s="18">
        <f>E6*Assumptions!B9</f>
        <v>1076955562.8085895</v>
      </c>
      <c r="F10" s="18">
        <f>F6*Assumptions!B9</f>
        <v>1016429050.8915563</v>
      </c>
    </row>
    <row r="11" spans="1:6" x14ac:dyDescent="0.25">
      <c r="A11" t="s">
        <v>47</v>
      </c>
      <c r="B11" s="18">
        <f>-B6*Assumptions!B10</f>
        <v>-1411755454.6992948</v>
      </c>
      <c r="C11" s="18">
        <f>-C6*Assumptions!B10</f>
        <v>-1332412688.568859</v>
      </c>
      <c r="D11" s="18">
        <f>-D6*Assumptions!B10</f>
        <v>-1257529104.4562964</v>
      </c>
      <c r="E11" s="18">
        <f>-E6*Assumptions!B10</f>
        <v>-1186854089.6688774</v>
      </c>
      <c r="F11" s="18">
        <f>-F6*Assumptions!B10</f>
        <v>-1120151116.3216934</v>
      </c>
    </row>
    <row r="12" spans="1:6" x14ac:dyDescent="0.25">
      <c r="A12" t="s">
        <v>48</v>
      </c>
      <c r="B12" s="18">
        <f>-(B6-Assumptions!B29)*Assumptions!B11</f>
        <v>254649479.55552176</v>
      </c>
      <c r="C12" s="18">
        <f>-(C6-B6)*Assumptions!B11</f>
        <v>240337798.28355876</v>
      </c>
      <c r="D12" s="18">
        <f>-(D6-C6)*Assumptions!B11</f>
        <v>226830454.88492605</v>
      </c>
      <c r="E12" s="18">
        <f>-(E6-D6)*Assumptions!B11</f>
        <v>214082244.3692261</v>
      </c>
      <c r="F12" s="18">
        <f>-(F6-E6)*Assumptions!B11</f>
        <v>202050502.33406973</v>
      </c>
    </row>
    <row r="13" spans="1:6" x14ac:dyDescent="0.25">
      <c r="A13" s="19" t="s">
        <v>49</v>
      </c>
      <c r="B13" s="20">
        <f>B9+B10+B11+B12</f>
        <v>6717395500.393297</v>
      </c>
      <c r="C13" s="20">
        <f>C9+C10+C11+C12</f>
        <v>6339867835.513921</v>
      </c>
      <c r="D13" s="20">
        <f>D9+D10+D11+D12</f>
        <v>5983557789.537724</v>
      </c>
      <c r="E13" s="20">
        <f>E9+E10+E11+E12</f>
        <v>5647272900.577008</v>
      </c>
      <c r="F13" s="20">
        <f>F9+F10+F11+F12</f>
        <v>5329887724.88405</v>
      </c>
    </row>
    <row r="14" spans="1:6" x14ac:dyDescent="0.25">
      <c r="A14" t="s">
        <v>50</v>
      </c>
      <c r="B14" s="21">
        <f>1/(1+Assumptions!$B$26)^(1-0.5*Assumptions!$B$32)</f>
        <v>0.965262668562118</v>
      </c>
      <c r="C14" s="21">
        <f>1/(1+Assumptions!$B$26)^(2-0.5*Assumptions!$B$32)</f>
        <v>0.899366135353267</v>
      </c>
      <c r="D14" s="21">
        <f>1/(1+Assumptions!$B$26)^(3-0.5*Assumptions!$B$32)</f>
        <v>0.8379682254004193</v>
      </c>
      <c r="E14" s="21">
        <f>1/(1+Assumptions!$B$26)^(4-0.5*Assumptions!$B$32)</f>
        <v>0.7807618267780455</v>
      </c>
      <c r="F14" s="21">
        <f>1/(1+Assumptions!$B$26)^(5-0.5*Assumptions!$B$32)</f>
        <v>0.7274607934716159</v>
      </c>
    </row>
    <row r="15" spans="1:6" x14ac:dyDescent="0.25">
      <c r="A15" s="19" t="s">
        <v>51</v>
      </c>
      <c r="B15" s="20">
        <f>B13*B14</f>
        <v>6484051106.496798</v>
      </c>
      <c r="C15" s="20">
        <f>C13*C14</f>
        <v>5701862433.876637</v>
      </c>
      <c r="D15" s="20">
        <f>D13*D14</f>
        <v>5014031302.479781</v>
      </c>
      <c r="E15" s="20">
        <f>E13*E14</f>
        <v>4409175106.168656</v>
      </c>
      <c r="F15" s="20">
        <f>F13*F14</f>
        <v>3877284353.4587765</v>
      </c>
    </row>
    <row r="17" spans="1:2" x14ac:dyDescent="0.25">
      <c r="A17" s="22" t="s">
        <v>52</v>
      </c>
      <c r="B17" s="23">
        <f>SUM(B15:F15)</f>
        <v>25486404302.48065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5329887724.88405</v>
      </c>
    </row>
    <row r="5" spans="1:2" x14ac:dyDescent="0.25">
      <c r="A5" t="s">
        <v>56</v>
      </c>
      <c r="B5" s="18">
        <f>IF(Assumptions!$B$33=0,B4,B4-Forecast!F11-Forecast!F10-Forecast!F12)</f>
        <v>5231559287.980117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0.15861896554149066</v>
      </c>
    </row>
    <row r="7" spans="1:2" x14ac:dyDescent="0.25">
      <c r="A7" t="s">
        <v>58</v>
      </c>
      <c r="B7" s="18">
        <f>-MAX(Forecast!F9,0)*B6</f>
        <v>-829824522.4283836</v>
      </c>
    </row>
    <row r="8" spans="1:2" x14ac:dyDescent="0.25">
      <c r="A8" t="s">
        <v>59</v>
      </c>
      <c r="B8" s="18">
        <f>IF(OR(Assumptions!$B$33=0,Assumptions!B12&lt;=0),B5,MAX(B5+B7,0))</f>
        <v>4401734765.551733</v>
      </c>
    </row>
    <row r="9" spans="1:2" x14ac:dyDescent="0.25">
      <c r="A9" t="s">
        <v>60</v>
      </c>
      <c r="B9" s="18">
        <f>B8*(1+Assumptions!B12)/(Assumptions!B26-Assumptions!B12)</f>
        <v>93469661901.1298</v>
      </c>
    </row>
    <row r="10" spans="1:2" x14ac:dyDescent="0.25">
      <c r="A10" t="s">
        <v>61</v>
      </c>
      <c r="B10" s="18">
        <f>B9/(1+Assumptions!B26)^(5-0.5*Assumptions!B32)</f>
        <v>67995514412.11955</v>
      </c>
    </row>
    <row r="11" spans="1:2" x14ac:dyDescent="0.25">
      <c r="A11" t="s">
        <v>62</v>
      </c>
      <c r="B11" s="18">
        <f>Forecast!B17+B10</f>
        <v>93481918714.6002</v>
      </c>
    </row>
    <row r="12" spans="1:2" x14ac:dyDescent="0.25">
      <c r="A12" t="s">
        <v>63</v>
      </c>
      <c r="B12" s="18">
        <f>-Assumptions!B30</f>
        <v>-22585000000</v>
      </c>
    </row>
    <row r="13" spans="1:2" x14ac:dyDescent="0.25">
      <c r="A13" t="s">
        <v>64</v>
      </c>
      <c r="B13" s="18">
        <f>B11+B12</f>
        <v>70896918714.6002</v>
      </c>
    </row>
    <row r="14" spans="1:2" x14ac:dyDescent="0.25">
      <c r="A14" s="19" t="s">
        <v>65</v>
      </c>
      <c r="B14" s="24">
        <f>B13/Assumptions!B31</f>
        <v>32.29486571976505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7991841434.865046</v>
      </c>
    </row>
    <row r="18" spans="1:2" x14ac:dyDescent="0.25">
      <c r="A18" t="s">
        <v>60</v>
      </c>
      <c r="B18" s="18">
        <f>B17*Assumptions!B13</f>
        <v>96713730991.19278</v>
      </c>
    </row>
    <row r="19" spans="1:2" x14ac:dyDescent="0.25">
      <c r="A19" t="s">
        <v>61</v>
      </c>
      <c r="B19" s="18">
        <f>B18/(1+Assumptions!B26)^(5-0.5*Assumptions!B32)</f>
        <v>70355447486.4535</v>
      </c>
    </row>
    <row r="20" spans="1:2" x14ac:dyDescent="0.25">
      <c r="A20" t="s">
        <v>62</v>
      </c>
      <c r="B20" s="18">
        <f>Forecast!B17+B19</f>
        <v>95841851788.93416</v>
      </c>
    </row>
    <row r="21" spans="1:2" x14ac:dyDescent="0.25">
      <c r="A21" t="s">
        <v>63</v>
      </c>
      <c r="B21" s="18">
        <f>-Assumptions!B30</f>
        <v>-22585000000</v>
      </c>
    </row>
    <row r="22" spans="1:2" x14ac:dyDescent="0.25">
      <c r="A22" t="s">
        <v>64</v>
      </c>
      <c r="B22" s="18">
        <f>B20+B21</f>
        <v>73256851788.93416</v>
      </c>
    </row>
    <row r="23" spans="1:2" x14ac:dyDescent="0.25">
      <c r="A23" s="19" t="s">
        <v>65</v>
      </c>
      <c r="B23" s="25">
        <f>B22/Assumptions!B31</f>
        <v>33.36985914860573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54.03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32.29486571976505</v>
      </c>
    </row>
    <row r="29" spans="1:2" x14ac:dyDescent="0.25">
      <c r="A29" s="19" t="s">
        <v>73</v>
      </c>
      <c r="B29" s="12">
        <f>B28/B26-1</f>
        <v>-0.40227899833860725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0.05327</v>
      </c>
      <c r="B5" s="31">
        <v>47.10404868783313</v>
      </c>
      <c r="C5" s="31">
        <v>52.330143652191964</v>
      </c>
      <c r="D5" s="31">
        <v>59.38370267634298</v>
      </c>
      <c r="E5" s="31">
        <v>69.44272150145008</v>
      </c>
      <c r="F5" s="31">
        <v>84.97473690990738</v>
      </c>
    </row>
    <row r="6" spans="1:6" x14ac:dyDescent="0.25">
      <c r="A6" s="30">
        <v>0.06327</v>
      </c>
      <c r="B6" s="31">
        <v>35.9721915887657</v>
      </c>
      <c r="C6" s="31">
        <v>38.78443890448906</v>
      </c>
      <c r="D6" s="31">
        <v>42.31654120886787</v>
      </c>
      <c r="E6" s="31">
        <v>46.89304989444296</v>
      </c>
      <c r="F6" s="31">
        <v>53.06812469655012</v>
      </c>
    </row>
    <row r="7" spans="1:6" x14ac:dyDescent="0.25">
      <c r="A7" s="30">
        <v>0.07327</v>
      </c>
      <c r="B7" s="31">
        <v>28.645007268528925</v>
      </c>
      <c r="C7" s="31">
        <v>30.303798553808424</v>
      </c>
      <c r="D7" s="32">
        <v>32.29484490039664</v>
      </c>
      <c r="E7" s="31">
        <v>34.73332601524138</v>
      </c>
      <c r="F7" s="31">
        <v>37.79461481508805</v>
      </c>
    </row>
    <row r="8" spans="1:6" x14ac:dyDescent="0.25">
      <c r="A8" s="30">
        <v>0.08327</v>
      </c>
      <c r="B8" s="31">
        <v>23.451275769420363</v>
      </c>
      <c r="C8" s="31">
        <v>24.487448548576737</v>
      </c>
      <c r="D8" s="31">
        <v>25.692391644851323</v>
      </c>
      <c r="E8" s="31">
        <v>27.113628143597484</v>
      </c>
      <c r="F8" s="31">
        <v>28.818371656521713</v>
      </c>
    </row>
    <row r="9" spans="1:6" x14ac:dyDescent="0.25">
      <c r="A9" s="30">
        <v>0.09327</v>
      </c>
      <c r="B9" s="31">
        <v>19.57382063075698</v>
      </c>
      <c r="C9" s="31">
        <v>20.245213455598556</v>
      </c>
      <c r="D9" s="31">
        <v>21.007536609392805</v>
      </c>
      <c r="E9" s="31">
        <v>21.88234778036939</v>
      </c>
      <c r="F9" s="31">
        <v>22.898603897612475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50503000000</v>
      </c>
      <c r="C5" s="18">
        <v>52479000000</v>
      </c>
      <c r="D5" s="18">
        <v>51680000000</v>
      </c>
      <c r="E5" s="18">
        <v>60073000000</v>
      </c>
      <c r="F5" s="8" t="s">
        <v>84</v>
      </c>
    </row>
    <row r="6" spans="1:6" x14ac:dyDescent="0.25">
      <c r="A6" t="s">
        <v>44</v>
      </c>
      <c r="B6" s="18">
        <v>10127000000</v>
      </c>
      <c r="C6" s="18">
        <v>10278000000</v>
      </c>
      <c r="D6" s="18">
        <v>9275000000</v>
      </c>
      <c r="E6" s="18">
        <v>9727000000</v>
      </c>
      <c r="F6" s="8" t="s">
        <v>85</v>
      </c>
    </row>
    <row r="7" spans="1:6" x14ac:dyDescent="0.25">
      <c r="A7" t="s">
        <v>86</v>
      </c>
      <c r="B7" s="18">
        <v>1353000000</v>
      </c>
      <c r="C7" s="18">
        <v>1370000000</v>
      </c>
      <c r="D7" s="18">
        <v>1148000000</v>
      </c>
      <c r="E7" s="18">
        <v>1946000000</v>
      </c>
      <c r="F7" s="8" t="s">
        <v>87</v>
      </c>
    </row>
    <row r="8" spans="1:6" x14ac:dyDescent="0.25">
      <c r="A8" t="s">
        <v>88</v>
      </c>
      <c r="B8" s="18">
        <v>1591000000</v>
      </c>
      <c r="C8" s="18">
        <v>1614000000</v>
      </c>
      <c r="D8" s="18">
        <v>1435000000</v>
      </c>
      <c r="E8" s="18">
        <v>1709000000</v>
      </c>
      <c r="F8" s="8" t="s">
        <v>89</v>
      </c>
    </row>
    <row r="9" spans="1:6" x14ac:dyDescent="0.25">
      <c r="A9" t="s">
        <v>90</v>
      </c>
      <c r="B9" s="18">
        <v>-116000000</v>
      </c>
      <c r="C9" s="18">
        <v>188000000</v>
      </c>
      <c r="D9" s="18">
        <v>-753000000</v>
      </c>
      <c r="E9" s="18">
        <v>422000000</v>
      </c>
      <c r="F9" s="8" t="s">
        <v>91</v>
      </c>
    </row>
    <row r="10" spans="1:6" x14ac:dyDescent="0.25">
      <c r="A10" t="s">
        <v>92</v>
      </c>
      <c r="B10" s="18">
        <v>27597000000</v>
      </c>
      <c r="C10" s="18">
        <v>30655000000</v>
      </c>
      <c r="D10" s="18">
        <v>28593000000</v>
      </c>
      <c r="E10" s="18">
        <v>28439000000</v>
      </c>
      <c r="F10" s="8" t="s">
        <v>93</v>
      </c>
    </row>
    <row r="11" spans="1:6" x14ac:dyDescent="0.25">
      <c r="A11" t="s">
        <v>94</v>
      </c>
      <c r="B11" s="18">
        <v>5012000000</v>
      </c>
      <c r="C11" s="18">
        <v>7629000000</v>
      </c>
      <c r="D11" s="18">
        <v>6109000000</v>
      </c>
      <c r="E11" s="18">
        <v>5840000000</v>
      </c>
      <c r="F11" s="8" t="s">
        <v>95</v>
      </c>
    </row>
    <row r="12" spans="1:6" x14ac:dyDescent="0.25">
      <c r="A12" t="s">
        <v>32</v>
      </c>
      <c r="B12" s="34">
        <v>2195300000</v>
      </c>
      <c r="C12" s="34">
        <v>2228533333</v>
      </c>
      <c r="D12" s="34">
        <v>2251022222</v>
      </c>
      <c r="E12" s="34">
        <v>2275377777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2026-09-19T00:07:00Z</dcterms:modified>
</cp:coreProperties>
</file>