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<sst xmlns="http://schemas.openxmlformats.org/spreadsheetml/2006/main" count="120" uniqueCount="107">
  <si>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UnitedHealth Group Incorporated (UNH)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</si>
  <si>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</si>
  <si>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</si>
  <si>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</si>
  <si>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</si>
  <si>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</si>
  <si>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</si>
  <si>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</si>
  <si>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</si>
  <si>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</si>
  <si>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</si>
  <si>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</si>
  <si>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</si>
  <si>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</si>
  <si>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</si>
  <si>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</si>
  <si>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</si>
  <si>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</si>
  <si>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</si>
  <si>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</si>
  <si>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</si>
  <si>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</si>
  <si>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</si>
  <si>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</si>
  <si>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4.7x interest cover. Book interest / average debt was lower, at 5.2%.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</si>
  <si>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</si>
  <si>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</si>
  <si>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</si>
  <si>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</si>
  <si>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</si>
  <si>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</si>
  <si>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</si>
  <si>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</si>
  <si>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</si>
  <si>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</si>
  <si>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</si>
  <si>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</si>
  <si>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</si>
  <si>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</si>
  <si>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</si>
  <si>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</si>
  <si>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</si>
  <si>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</si>
  <si>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</si>
  <si>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</si>
  <si>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</si>
  <si>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</si>
  <si>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</si>
  <si>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</si>
  <si>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</si>
  <si>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</si>
  <si>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</si>
  <si>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</si>
  <si>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</si>
  <si>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</si>
  <si>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</si>
  <si>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</si>
  <si>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</si>
  <si>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</si>
  <si>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</si>
  <si>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</si>
  <si>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</si>
  <si>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</si>
  <si>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</si>
  <si>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</si>
  <si>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</si>
  <si>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</si>
  <si>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</si>
  <si>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</si>
  <si>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</si>
  <si>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</si>
  <si>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</si>
  <si>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</si>
  <si>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</si>
  <si>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</si>
  <si>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</si>
  <si>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</si>
  <si>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</si>
  <si>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</si>
  <si>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</si>
  <si>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</si>
  <si>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</si>
  <si>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</si>
  <si>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</si>
  <si>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</si>
  <si>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</si>
  <si>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</si>
  <si>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</si>
  <si>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</si>
  <si>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</si>
  <si>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</si>
  <si>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</si>
  <si>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</si>
  <si>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</si>
  <si>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</si>
  <si>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</si>
  <si>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</si>
  <si>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</si>
  <si>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</si>
  <si>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</si>
  <si>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</si>
  <si>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</si>
  <si>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</si>
  <si>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</si>
  <si>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</si>
  <si>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0.86% of revenue, which is too low to be the company's real investment - property trusts and similar structures invest through lines that are not reported as capex. Capex has been set to 1.03%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</si>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</sst>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0.00341614891178299</v>
      </c>
    </row>
    <row r="7" spans="1:2" x14ac:dyDescent="0.25">
      <c r="A7" t="s">
        <v>4</v>
      </c>
      <c r="B7" s="5">
        <v>0.07445589605333061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0.01029025959472354</v>
      </c>
    </row>
    <row r="10" spans="1:3" x14ac:dyDescent="0.25">
      <c r="A10" t="s">
        <v>7</v>
      </c>
      <c r="B10" s="5">
        <v>0.01029025959472354</v>
      </c>
      <c r="C10" s="6" t="s">
        <v>8</v>
      </c>
    </row>
    <row r="11" spans="1:2" x14ac:dyDescent="0.25">
      <c r="A11" t="s">
        <v>9</v>
      </c>
      <c r="B11" s="5">
        <v>-0.11825201355319444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17.81616968162915</v>
      </c>
    </row>
    <row r="14" spans="1:3" x14ac:dyDescent="0.25">
      <c r="A14" t="s">
        <v>12</v>
      </c>
      <c r="B14" s="5">
        <v>0.158169560342775</v>
      </c>
      <c r="C14" s="6" t="s">
        <v>13</v>
      </c>
    </row>
    <row r="15" spans="1:3" x14ac:dyDescent="0.25">
      <c r="A15" t="s">
        <v>14</v>
      </c>
      <c r="B15" s="5">
        <v>0.01029025959472354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0.74205</v>
      </c>
      <c r="C19" s="6" t="s">
        <v>21</v>
      </c>
    </row>
    <row r="20" spans="1:2" x14ac:dyDescent="0.25">
      <c r="A20" t="s">
        <v>22</v>
      </c>
      <c r="B20" s="9">
        <f>B17+B19*B18</f>
        <v>0.080328715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365294157824</v>
      </c>
    </row>
    <row r="23" spans="1:2" x14ac:dyDescent="0.25">
      <c r="A23" t="s">
        <v>26</v>
      </c>
      <c r="B23" s="10">
        <v>78389000000</v>
      </c>
    </row>
    <row r="24" spans="1:2" x14ac:dyDescent="0.25">
      <c r="A24" t="s">
        <v>27</v>
      </c>
      <c r="B24" s="9">
        <f>B22/(B22+B23)</f>
        <v>0.8233221193600156</v>
      </c>
    </row>
    <row r="25" spans="1:2" x14ac:dyDescent="0.25">
      <c r="A25" t="s">
        <v>28</v>
      </c>
      <c r="B25" s="9">
        <f>1-B24</f>
        <v>0.17667788063998435</v>
      </c>
    </row>
    <row r="26" spans="1:2" x14ac:dyDescent="0.25">
      <c r="A26" t="s">
        <v>29</v>
      </c>
      <c r="B26" s="11">
        <f>B24*B20+B25*B21*(1-B8)</f>
        <v>0.07405592320780173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447567000000</v>
      </c>
      <c r="C29" s="6" t="s">
        <v>32</v>
      </c>
    </row>
    <row r="30" spans="1:2" x14ac:dyDescent="0.25">
      <c r="A30" t="s">
        <v>33</v>
      </c>
      <c r="B30" s="10">
        <v>50268000000</v>
      </c>
    </row>
    <row r="31" spans="1:2" x14ac:dyDescent="0.25">
      <c r="A31" t="s">
        <v>34</v>
      </c>
      <c r="B31" s="12">
        <v>911000000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0.00341614891178299</v>
      </c>
      <c r="C5" s="5">
        <v>0.031184916937815332</v>
      </c>
      <c r="D5" s="5">
        <v>0.030411802320588415</v>
      </c>
      <c r="E5" s="5">
        <v>0.029638687703361498</v>
      </c>
      <c r="F5" s="5">
        <v>0.028865573086134584</v>
      </c>
      <c r="G5" s="5">
        <v>0.028092458468907667</v>
      </c>
      <c r="H5" s="5">
        <v>0.02731934385168075</v>
      </c>
      <c r="I5" s="5">
        <v>0.026546229234453836</v>
      </c>
      <c r="J5" s="5">
        <v>0.02577311461722692</v>
      </c>
      <c r="K5" s="5">
        <v>0.025</v>
      </c>
    </row>
    <row r="6" spans="1:11" x14ac:dyDescent="0.25">
      <c r="A6" t="s">
        <v>50</v>
      </c>
      <c r="B6" s="18">
        <f>Assumptions!B29*(1+B5)</f>
        <v>449095955520</v>
      </c>
      <c r="C6" s="18">
        <f>B6*(1+C5)</f>
        <v>463100975590</v>
      </c>
      <c r="D6" s="18">
        <f>C6*(1+D5)</f>
        <v>477184710914.1147</v>
      </c>
      <c r="E6" s="18">
        <f>D6*(1+E5)</f>
        <v>491327839537.7169</v>
      </c>
      <c r="F6" s="18">
        <f>E6*(1+F5)</f>
        <v>505510299199.14557</v>
      </c>
      <c r="G6" s="18">
        <f>F6*(1+G5)</f>
        <v>519711326285.0027</v>
      </c>
      <c r="H6" s="18">
        <f>G6*(1+H5)</f>
        <v>533909498711.39575</v>
      </c>
      <c r="I6" s="18">
        <f>H6*(1+I5)</f>
        <v>548082782654.6408</v>
      </c>
      <c r="J6" s="18">
        <f>I6*(1+J5)</f>
        <v>562208583031.7275</v>
      </c>
      <c r="K6" s="18">
        <f>J6*(1+K5)</f>
        <v>576263797607.5206</v>
      </c>
    </row>
    <row r="7" spans="1:11" x14ac:dyDescent="0.25">
      <c r="A7" t="s">
        <v>4</v>
      </c>
      <c r="B7" s="9">
        <f>Assumptions!B7</f>
        <v>0.07445589605333061</v>
      </c>
      <c r="C7" s="9">
        <f>Assumptions!B7</f>
        <v>0.07445589605333061</v>
      </c>
      <c r="D7" s="9">
        <f>Assumptions!B7</f>
        <v>0.07445589605333061</v>
      </c>
      <c r="E7" s="9">
        <f>Assumptions!B7</f>
        <v>0.07445589605333061</v>
      </c>
      <c r="F7" s="9">
        <f>Assumptions!B7</f>
        <v>0.07445589605333061</v>
      </c>
      <c r="G7" s="9">
        <f>Assumptions!B7</f>
        <v>0.07445589605333061</v>
      </c>
      <c r="H7" s="9">
        <f>Assumptions!B7</f>
        <v>0.07445589605333061</v>
      </c>
      <c r="I7" s="9">
        <f>Assumptions!B7</f>
        <v>0.07445589605333061</v>
      </c>
      <c r="J7" s="9">
        <f>Assumptions!B7</f>
        <v>0.07445589605333061</v>
      </c>
      <c r="K7" s="9">
        <f>Assumptions!B7</f>
        <v>0.07445589605333061</v>
      </c>
    </row>
    <row r="8" spans="1:11" x14ac:dyDescent="0.25">
      <c r="A8" t="s">
        <v>51</v>
      </c>
      <c r="B8" s="18">
        <f>B6*B7</f>
        <v>33437841782.16831</v>
      </c>
      <c r="C8" s="18">
        <f>C6*C7</f>
        <v>34480598100.72504</v>
      </c>
      <c r="D8" s="18">
        <f>D6*D7</f>
        <v>35529215234.05994</v>
      </c>
      <c r="E8" s="18">
        <f>E6*E7</f>
        <v>36582254548.72775</v>
      </c>
      <c r="F8" s="18">
        <f>F6*F7</f>
        <v>37638222291.05964</v>
      </c>
      <c r="G8" s="18">
        <f>G6*G7</f>
        <v>38695572487.614746</v>
      </c>
      <c r="H8" s="18">
        <f>H6*H7</f>
        <v>39752710137.941536</v>
      </c>
      <c r="I8" s="18">
        <f>I6*I7</f>
        <v>40807994693.95413</v>
      </c>
      <c r="J8" s="18">
        <f>J6*J7</f>
        <v>41859743818.500595</v>
      </c>
      <c r="K8" s="18">
        <f>K6*K7</f>
        <v>42906237413.963104</v>
      </c>
    </row>
    <row r="9" spans="1:11" x14ac:dyDescent="0.25">
      <c r="A9" t="s">
        <v>52</v>
      </c>
      <c r="B9" s="18">
        <f>B8*(1-Assumptions!B8)</f>
        <v>26415895007.912964</v>
      </c>
      <c r="C9" s="18">
        <f>C8*(1-Assumptions!B8)</f>
        <v>27239672499.57278</v>
      </c>
      <c r="D9" s="18">
        <f>D8*(1-Assumptions!B8)</f>
        <v>28068080034.907352</v>
      </c>
      <c r="E9" s="18">
        <f>E8*(1-Assumptions!B8)</f>
        <v>28899981093.494926</v>
      </c>
      <c r="F9" s="18">
        <f>F8*(1-Assumptions!B8)</f>
        <v>29734195609.937115</v>
      </c>
      <c r="G9" s="18">
        <f>G8*(1-Assumptions!B8)</f>
        <v>30569502265.215652</v>
      </c>
      <c r="H9" s="18">
        <f>H8*(1-Assumptions!B8)</f>
        <v>31404641008.973816</v>
      </c>
      <c r="I9" s="18">
        <f>I8*(1-Assumptions!B8)</f>
        <v>32238315808.223766</v>
      </c>
      <c r="J9" s="18">
        <f>J8*(1-Assumptions!B8)</f>
        <v>33069197616.61547</v>
      </c>
      <c r="K9" s="18">
        <f>K8*(1-Assumptions!B8)</f>
        <v>33895927557.030853</v>
      </c>
    </row>
    <row r="10" spans="1:11" x14ac:dyDescent="0.25">
      <c r="A10" t="s">
        <v>53</v>
      </c>
      <c r="B10" s="18">
        <f>B6*Assumptions!B9</f>
        <v>4621313965.241217</v>
      </c>
      <c r="C10" s="18">
        <f>C6*Assumptions!B9</f>
        <v>4765429257.39083</v>
      </c>
      <c r="D10" s="18">
        <f>D6*Assumptions!B9</f>
        <v>4910354549.939347</v>
      </c>
      <c r="E10" s="18">
        <f>E6*Assumptions!B9</f>
        <v>5055891014.95778</v>
      </c>
      <c r="F10" s="18">
        <f>F6*Assumptions!B9</f>
        <v>5201832206.565576</v>
      </c>
      <c r="G10" s="18">
        <f>G6*Assumptions!B9</f>
        <v>5347964461.790746</v>
      </c>
      <c r="H10" s="18">
        <f>H6*Assumptions!B9</f>
        <v>5494067341.828976</v>
      </c>
      <c r="I10" s="18">
        <f>I6*Assumptions!B9</f>
        <v>5639914112.914695</v>
      </c>
      <c r="J10" s="18">
        <f>J6*Assumptions!B9</f>
        <v>5785272265.778161</v>
      </c>
      <c r="K10" s="18">
        <f>K6*Assumptions!B9</f>
        <v>5929904072.422614</v>
      </c>
    </row>
    <row r="11" spans="1:11" x14ac:dyDescent="0.25">
      <c r="A11" t="s">
        <v>54</v>
      </c>
      <c r="B11" s="18">
        <f>-B6*B19</f>
        <v>-4621313965.241217</v>
      </c>
      <c r="C11" s="18">
        <f>-C6*C19</f>
        <v>-5243813067.646606</v>
      </c>
      <c r="D11" s="18">
        <f>-D6*D19</f>
        <v>-5896219198.192638</v>
      </c>
      <c r="E11" s="18">
        <f>-E6*E19</f>
        <v>-6578517588.978762</v>
      </c>
      <c r="F11" s="18">
        <f>-F6*F19</f>
        <v>-7290602956.800609</v>
      </c>
      <c r="G11" s="18">
        <f>-G6*G19</f>
        <v>-8032276281.524597</v>
      </c>
      <c r="H11" s="18">
        <f>-H6*H19</f>
        <v>-8803241890.639725</v>
      </c>
      <c r="I11" s="18">
        <f>-I6*I19</f>
        <v>-9603104877.035046</v>
      </c>
      <c r="J11" s="18">
        <f>-J6*J19</f>
        <v>-10431368875.988401</v>
      </c>
      <c r="K11" s="18">
        <f>-K6*K19</f>
        <v>-11287434226.071295</v>
      </c>
    </row>
    <row r="12" spans="1:11" x14ac:dyDescent="0.25">
      <c r="A12" t="s">
        <v>55</v>
      </c>
      <c r="B12" s="18">
        <f>-(B6-Assumptions!B29)*Assumptions!B11</f>
        <v>180802068.87327144</v>
      </c>
      <c r="C12" s="18">
        <f>-(C6-B6)*Assumptions!B11</f>
        <v>1656121823.1304002</v>
      </c>
      <c r="D12" s="18">
        <f>-(D6-C6)*Assumptions!B11</f>
        <v>1665430060.426813</v>
      </c>
      <c r="E12" s="18">
        <f>-(E6-D6)*Assumptions!B11</f>
        <v>1672453437.6827836</v>
      </c>
      <c r="F12" s="18">
        <f>-(F6-E6)*Assumptions!B11</f>
        <v>1677104412.1008942</v>
      </c>
      <c r="G12" s="18">
        <f>-(G6-F6)*Assumptions!B11</f>
        <v>1679300047.426057</v>
      </c>
      <c r="H12" s="18">
        <f>-(H6-G6)*Assumptions!B11</f>
        <v>1678962478.1964245</v>
      </c>
      <c r="I12" s="18">
        <f>-(I6-H6)*Assumptions!B11</f>
        <v>1676019364.9498875</v>
      </c>
      <c r="J12" s="18">
        <f>-(J6-I6)*Assumptions!B11</f>
        <v>1670404337.6409793</v>
      </c>
      <c r="K12" s="18">
        <f>-(K6-J6)*Assumptions!B11</f>
        <v>1662057424.5097406</v>
      </c>
    </row>
    <row r="13" spans="1:11" x14ac:dyDescent="0.25">
      <c r="A13" s="19" t="s">
        <v>56</v>
      </c>
      <c r="B13" s="20">
        <f>B9+B10+B11+B12</f>
        <v>26596697076.786236</v>
      </c>
      <c r="C13" s="20">
        <f>C9+C10+C11+C12</f>
        <v>28417410512.447407</v>
      </c>
      <c r="D13" s="20">
        <f>D9+D10+D11+D12</f>
        <v>28747645447.08087</v>
      </c>
      <c r="E13" s="20">
        <f>E9+E10+E11+E12</f>
        <v>29049807957.15673</v>
      </c>
      <c r="F13" s="20">
        <f>F9+F10+F11+F12</f>
        <v>29322529271.80298</v>
      </c>
      <c r="G13" s="20">
        <f>G9+G10+G11+G12</f>
        <v>29564490492.90786</v>
      </c>
      <c r="H13" s="20">
        <f>H9+H10+H11+H12</f>
        <v>29774428938.359497</v>
      </c>
      <c r="I13" s="20">
        <f>I9+I10+I11+I12</f>
        <v>29951144409.0533</v>
      </c>
      <c r="J13" s="20">
        <f>J9+J10+J11+J12</f>
        <v>30093505344.046207</v>
      </c>
      <c r="K13" s="20">
        <f>K9+K10+K11+K12</f>
        <v>30200454827.89191</v>
      </c>
    </row>
    <row r="14" spans="1:11" x14ac:dyDescent="0.25">
      <c r="A14" t="s">
        <v>57</v>
      </c>
      <c r="B14" s="21">
        <f>1/(1+Assumptions!$B$26)^(1-0.5*Assumptions!$B$32)</f>
        <v>0.9649094344304767</v>
      </c>
      <c r="C14" s="21">
        <f>1/(1+Assumptions!$B$26)^(2-0.5*Assumptions!$B$32)</f>
        <v>0.8983791379769637</v>
      </c>
      <c r="D14" s="21">
        <f>1/(1+Assumptions!$B$26)^(3-0.5*Assumptions!$B$32)</f>
        <v>0.8364360910499357</v>
      </c>
      <c r="E14" s="21">
        <f>1/(1+Assumptions!$B$26)^(4-0.5*Assumptions!$B$32)</f>
        <v>0.778764003788383</v>
      </c>
      <c r="F14" s="21">
        <f>1/(1+Assumptions!$B$26)^(5-0.5*Assumptions!$B$32)</f>
        <v>0.725068394448687</v>
      </c>
      <c r="G14" s="21">
        <f>1/(1+Assumptions!$B$26)^(6-0.5*Assumptions!$B$32)</f>
        <v>0.6750750857396511</v>
      </c>
      <c r="H14" s="21">
        <f>1/(1+Assumptions!$B$26)^(7-0.5*Assumptions!$B$32)</f>
        <v>0.6285288048349059</v>
      </c>
      <c r="I14" s="21">
        <f>1/(1+Assumptions!$B$26)^(8-0.5*Assumptions!$B$32)</f>
        <v>0.5851918799141542</v>
      </c>
      <c r="J14" s="21">
        <f>1/(1+Assumptions!$B$26)^(9-0.5*Assumptions!$B$32)</f>
        <v>0.544843026577616</v>
      </c>
      <c r="K14" s="21">
        <f>1/(1+Assumptions!$B$26)^(10-0.5*Assumptions!$B$32)</f>
        <v>0.5072762179369343</v>
      </c>
    </row>
    <row r="15" spans="1:11" x14ac:dyDescent="0.25">
      <c r="A15" s="19" t="s">
        <v>58</v>
      </c>
      <c r="B15" s="20">
        <f>B13*B14</f>
        <v>25663403934.08052</v>
      </c>
      <c r="C15" s="20">
        <f>C13*C14</f>
        <v>25529608759.710007</v>
      </c>
      <c r="D15" s="20">
        <f>D13*D14</f>
        <v>24045568184.645805</v>
      </c>
      <c r="E15" s="20">
        <f>E13*E14</f>
        <v>22622944753.999</v>
      </c>
      <c r="F15" s="20">
        <f>F13*F14</f>
        <v>21260839220.28081</v>
      </c>
      <c r="G15" s="20">
        <f>G13*G14</f>
        <v>19958250954.348873</v>
      </c>
      <c r="H15" s="20">
        <f>H13*H14</f>
        <v>18714086235.268932</v>
      </c>
      <c r="I15" s="20">
        <f>I13*I14</f>
        <v>17527166502.31421</v>
      </c>
      <c r="J15" s="20">
        <f>J13*J14</f>
        <v>16396236531.979795</v>
      </c>
      <c r="K15" s="20">
        <f>K13*K14</f>
        <v>15319972505.068237</v>
      </c>
    </row>
    <row r="17" spans="1:2" x14ac:dyDescent="0.25">
      <c r="A17" s="22" t="s">
        <v>59</v>
      </c>
      <c r="B17" s="23">
        <f>SUM(B15:K15)</f>
        <v>207038077581.69617</v>
      </c>
    </row>
    <row r="19" spans="1:11" x14ac:dyDescent="0.25">
      <c r="A19" t="s">
        <v>7</v>
      </c>
      <c r="B19" s="9">
        <f>Assumptions!$B$10+($B$20-Assumptions!$B$10)*0/9</f>
        <v>0.01029025959472354</v>
      </c>
      <c r="C19" s="9">
        <f>Assumptions!$B$10+($B$20-Assumptions!$B$10)*1/9</f>
        <v>0.011323260679738113</v>
      </c>
      <c r="D19" s="9">
        <f>Assumptions!$B$10+($B$20-Assumptions!$B$10)*2/9</f>
        <v>0.012356261764752685</v>
      </c>
      <c r="E19" s="9">
        <f>Assumptions!$B$10+($B$20-Assumptions!$B$10)*3/9</f>
        <v>0.013389262849767257</v>
      </c>
      <c r="F19" s="9">
        <f>Assumptions!$B$10+($B$20-Assumptions!$B$10)*4/9</f>
        <v>0.01442226393478183</v>
      </c>
      <c r="G19" s="9">
        <f>Assumptions!$B$10+($B$20-Assumptions!$B$10)*5/9</f>
        <v>0.015455265019796403</v>
      </c>
      <c r="H19" s="9">
        <f>Assumptions!$B$10+($B$20-Assumptions!$B$10)*6/9</f>
        <v>0.016488266104810974</v>
      </c>
      <c r="I19" s="9">
        <f>Assumptions!$B$10+($B$20-Assumptions!$B$10)*7/9</f>
        <v>0.017521267189825548</v>
      </c>
      <c r="J19" s="9">
        <f>Assumptions!$B$10+($B$20-Assumptions!$B$10)*8/9</f>
        <v>0.01855426827484012</v>
      </c>
      <c r="K19" s="9">
        <f>Assumptions!$B$10+($B$20-Assumptions!$B$10)*9/9</f>
        <v>0.019587269359854692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0.019587269359854692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30200454827.89191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33895927557.030853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0.15805822527306515</v>
      </c>
    </row>
    <row r="7" spans="1:2" x14ac:dyDescent="0.25">
      <c r="A7" t="s">
        <v>66</v>
      </c>
      <c r="B7" s="18">
        <f>-MAX(B5,0)*B6</f>
        <v>-5357530153.64868</v>
      </c>
    </row>
    <row r="8" spans="1:2" x14ac:dyDescent="0.25">
      <c r="A8" t="s">
        <v>67</v>
      </c>
      <c r="B8" s="18">
        <f>IF(OR(Assumptions!$B$33=0,Assumptions!B12&lt;=0),B5,MAX(B5+B7,0))</f>
        <v>28538397403.38217</v>
      </c>
    </row>
    <row r="9" spans="1:2" x14ac:dyDescent="0.25">
      <c r="A9" t="s">
        <v>68</v>
      </c>
      <c r="B9" s="18">
        <f>B8*(1+Assumptions!B12)/(Assumptions!B26-Assumptions!B12)</f>
        <v>596296133589.3192</v>
      </c>
    </row>
    <row r="10" spans="1:2" x14ac:dyDescent="0.25">
      <c r="A10" t="s">
        <v>69</v>
      </c>
      <c r="B10" s="18">
        <f>B9/(1+Assumptions!B26)^(10-0.5*Assumptions!B32)</f>
        <v>302486847417.6068</v>
      </c>
    </row>
    <row r="11" spans="1:2" x14ac:dyDescent="0.25">
      <c r="A11" t="s">
        <v>70</v>
      </c>
      <c r="B11" s="18">
        <f>Forecast!B17+B10</f>
        <v>509524924999.303</v>
      </c>
    </row>
    <row r="12" spans="1:2" x14ac:dyDescent="0.25">
      <c r="A12" t="s">
        <v>71</v>
      </c>
      <c r="B12" s="18">
        <f>-Assumptions!B30</f>
        <v>-50268000000</v>
      </c>
    </row>
    <row r="13" spans="1:2" x14ac:dyDescent="0.25">
      <c r="A13" t="s">
        <v>72</v>
      </c>
      <c r="B13" s="18">
        <f>B11+B12</f>
        <v>459256924999.303</v>
      </c>
    </row>
    <row r="14" spans="1:2" x14ac:dyDescent="0.25">
      <c r="A14" s="19" t="s">
        <v>73</v>
      </c>
      <c r="B14" s="24">
        <f>B13/Assumptions!B31</f>
        <v>504.1239571891361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48836141486.38572</v>
      </c>
    </row>
    <row r="18" spans="1:2" x14ac:dyDescent="0.25">
      <c r="A18" t="s">
        <v>68</v>
      </c>
      <c r="B18" s="18">
        <f>B17*Assumptions!B13</f>
        <v>870072983317.4968</v>
      </c>
    </row>
    <row r="19" spans="1:2" x14ac:dyDescent="0.25">
      <c r="A19" t="s">
        <v>69</v>
      </c>
      <c r="B19" s="18">
        <f>B18/(1+Assumptions!B26)^(10-0.5*Assumptions!B32)</f>
        <v>441367332306.40515</v>
      </c>
    </row>
    <row r="20" spans="1:2" x14ac:dyDescent="0.25">
      <c r="A20" t="s">
        <v>70</v>
      </c>
      <c r="B20" s="18">
        <f>Forecast!B17+B19</f>
        <v>648405409888.1013</v>
      </c>
    </row>
    <row r="21" spans="1:2" x14ac:dyDescent="0.25">
      <c r="A21" t="s">
        <v>71</v>
      </c>
      <c r="B21" s="18">
        <f>-Assumptions!B30</f>
        <v>-50268000000</v>
      </c>
    </row>
    <row r="22" spans="1:2" x14ac:dyDescent="0.25">
      <c r="A22" t="s">
        <v>72</v>
      </c>
      <c r="B22" s="18">
        <f>B20+B21</f>
        <v>598137409888.1013</v>
      </c>
    </row>
    <row r="23" spans="1:2" x14ac:dyDescent="0.25">
      <c r="A23" s="19" t="s">
        <v>73</v>
      </c>
      <c r="B23" s="25">
        <f>B22/Assumptions!B31</f>
        <v>656.5723489441287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406.97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504.1239571891361</v>
      </c>
    </row>
    <row r="29" spans="1:2" x14ac:dyDescent="0.25">
      <c r="A29" s="19" t="s">
        <v>81</v>
      </c>
      <c r="B29" s="11">
        <f>B28/B26-1</f>
        <v>0.23872510796652358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0.054056</v>
      </c>
      <c r="B5" s="31">
        <v>731.0154598449997</v>
      </c>
      <c r="C5" s="31">
        <v>786.7453667831369</v>
      </c>
      <c r="D5" s="31">
        <v>862.7299354564196</v>
      </c>
      <c r="E5" s="31">
        <v>971.5988601626191</v>
      </c>
      <c r="F5" s="31">
        <v>1139.237181859635</v>
      </c>
    </row>
    <row r="6" spans="1:6" x14ac:dyDescent="0.25">
      <c r="A6" s="30">
        <v>0.064056</v>
      </c>
      <c r="B6" s="31">
        <v>575.5032949756136</v>
      </c>
      <c r="C6" s="31">
        <v>602.7702804741232</v>
      </c>
      <c r="D6" s="31">
        <v>637.7737808505482</v>
      </c>
      <c r="E6" s="31">
        <v>683.921351988396</v>
      </c>
      <c r="F6" s="31">
        <v>746.966059052223</v>
      </c>
    </row>
    <row r="7" spans="1:6" x14ac:dyDescent="0.25">
      <c r="A7" s="30">
        <v>0.074056</v>
      </c>
      <c r="B7" s="31">
        <v>472.48587729784833</v>
      </c>
      <c r="C7" s="31">
        <v>486.58349820383904</v>
      </c>
      <c r="D7" s="32">
        <v>504.12313859649754</v>
      </c>
      <c r="E7" s="31">
        <v>526.2767226700322</v>
      </c>
      <c r="F7" s="31">
        <v>554.8162996668925</v>
      </c>
    </row>
    <row r="8" spans="1:6" x14ac:dyDescent="0.25">
      <c r="A8" s="30">
        <v>0.084056</v>
      </c>
      <c r="B8" s="31">
        <v>399.17216369136014</v>
      </c>
      <c r="C8" s="31">
        <v>406.4583880147689</v>
      </c>
      <c r="D8" s="31">
        <v>415.42499835453924</v>
      </c>
      <c r="E8" s="31">
        <v>426.53828504375946</v>
      </c>
      <c r="F8" s="31">
        <v>440.45464373722723</v>
      </c>
    </row>
    <row r="9" spans="1:6" x14ac:dyDescent="0.25">
      <c r="A9" s="30">
        <v>0.094056</v>
      </c>
      <c r="B9" s="31">
        <v>344.3013485793621</v>
      </c>
      <c r="C9" s="31">
        <v>347.80297565952964</v>
      </c>
      <c r="D9" s="31">
        <v>352.17334997922273</v>
      </c>
      <c r="E9" s="31">
        <v>357.61590616740483</v>
      </c>
      <c r="F9" s="31">
        <v>364.4029743518756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447567000000</v>
      </c>
      <c r="C5" s="18">
        <v>400278000000</v>
      </c>
      <c r="D5" s="18">
        <v>371622000000</v>
      </c>
      <c r="E5" s="18">
        <v>324162000000</v>
      </c>
      <c r="F5" s="6" t="s">
        <v>91</v>
      </c>
    </row>
    <row r="6" spans="1:6" x14ac:dyDescent="0.25">
      <c r="A6" t="s">
        <v>51</v>
      </c>
      <c r="B6" s="18">
        <v>18964000000</v>
      </c>
      <c r="C6" s="18">
        <v>32287000000</v>
      </c>
      <c r="D6" s="18">
        <v>32358000000</v>
      </c>
      <c r="E6" s="18">
        <v>28435000000</v>
      </c>
      <c r="F6" s="6" t="s">
        <v>92</v>
      </c>
    </row>
    <row r="7" spans="1:6" x14ac:dyDescent="0.25">
      <c r="A7" t="s">
        <v>93</v>
      </c>
      <c r="B7" s="18">
        <v>4361000000</v>
      </c>
      <c r="C7" s="18">
        <v>4099000000</v>
      </c>
      <c r="D7" s="18">
        <v>3972000000</v>
      </c>
      <c r="E7" s="18">
        <v>3400000000</v>
      </c>
      <c r="F7" s="6" t="s">
        <v>94</v>
      </c>
    </row>
    <row r="8" spans="1:6" x14ac:dyDescent="0.25">
      <c r="A8" t="s">
        <v>95</v>
      </c>
      <c r="B8" s="18">
        <v>3622000000</v>
      </c>
      <c r="C8" s="18">
        <v>3499000000</v>
      </c>
      <c r="D8" s="18">
        <v>3386000000</v>
      </c>
      <c r="E8" s="18">
        <v>2802000000</v>
      </c>
      <c r="F8" s="6" t="s">
        <v>96</v>
      </c>
    </row>
    <row r="9" spans="1:6" x14ac:dyDescent="0.25">
      <c r="A9" t="s">
        <v>97</v>
      </c>
      <c r="B9" s="18">
        <v>-2282000000</v>
      </c>
      <c r="C9" s="18">
        <v>808000000</v>
      </c>
      <c r="D9" s="18">
        <v>-1643000000</v>
      </c>
      <c r="E9" s="18">
        <v>-2246000000</v>
      </c>
      <c r="F9" s="6" t="s">
        <v>98</v>
      </c>
    </row>
    <row r="10" spans="1:6" x14ac:dyDescent="0.25">
      <c r="A10" t="s">
        <v>99</v>
      </c>
      <c r="B10" s="18">
        <v>78389000000</v>
      </c>
      <c r="C10" s="18">
        <v>76904000000</v>
      </c>
      <c r="D10" s="18">
        <v>62537000000</v>
      </c>
      <c r="E10" s="18">
        <v>57623000000</v>
      </c>
      <c r="F10" s="6" t="s">
        <v>100</v>
      </c>
    </row>
    <row r="11" spans="1:6" x14ac:dyDescent="0.25">
      <c r="A11" t="s">
        <v>101</v>
      </c>
      <c r="B11" s="18">
        <v>28121000000</v>
      </c>
      <c r="C11" s="18">
        <v>29113000000</v>
      </c>
      <c r="D11" s="18">
        <v>29628000000</v>
      </c>
      <c r="E11" s="18">
        <v>27911000000</v>
      </c>
      <c r="F11" s="6" t="s">
        <v>102</v>
      </c>
    </row>
    <row r="12" spans="1:6" x14ac:dyDescent="0.25">
      <c r="A12" t="s">
        <v>34</v>
      </c>
      <c r="B12" s="34">
        <v>911000000</v>
      </c>
      <c r="C12" s="34">
        <v>929000000</v>
      </c>
      <c r="D12" s="34">
        <v>938000000</v>
      </c>
      <c r="E12" s="34">
        <v>950000000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