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<sst xmlns="http://schemas.openxmlformats.org/spreadsheetml/2006/main" count="112" uniqueCount="100">
  <si>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UnitedHealth Group Incorporated (UNH)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</si>
  <si>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</si>
  <si>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</si>
  <si>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</si>
  <si>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</si>
  <si>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</si>
  <si>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</si>
  <si>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</si>
  <si>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</si>
  <si>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</si>
  <si>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</si>
  <si>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</si>
  <si>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</si>
  <si>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</si>
  <si>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</si>
  <si>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</si>
  <si>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</si>
  <si>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</si>
  <si>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</si>
  <si>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</si>
  <si>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</si>
  <si>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</si>
  <si>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</si>
  <si>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</si>
  <si>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</si>
  <si>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</si>
  <si>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</si>
  <si>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</si>
  <si>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</si>
  <si>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</si>
  <si>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</si>
  <si>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</si>
  <si>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</si>
  <si>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</si>
  <si>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</si>
  <si>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</si>
  <si>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</si>
  <si>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</si>
  <si>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</si>
  <si>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</si>
  <si>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</si>
  <si>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</si>
  <si>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</si>
  <si>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</si>
  <si>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</si>
  <si>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</si>
  <si>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</si>
  <si>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</si>
  <si>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</si>
  <si>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</si>
  <si>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</si>
  <si>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</si>
  <si>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</si>
  <si>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</si>
  <si>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</si>
  <si>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</si>
  <si>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</si>
  <si>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</si>
  <si>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</si>
  <si>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</si>
  <si>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</si>
  <si>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</si>
  <si>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</si>
  <si>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</si>
  <si>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</si>
  <si>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</si>
  <si>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</si>
  <si>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</si>
  <si>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</si>
  <si>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</si>
  <si>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</si>
  <si>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</si>
  <si>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</si>
  <si>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</si>
  <si>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</si>
  <si>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</si>
  <si>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</si>
  <si>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</si>
  <si>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</si>
  <si>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</si>
  <si>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</si>
  <si>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</si>
  <si>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</si>
  <si>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</si>
  <si>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</si>
  <si>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</si>
  <si>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</si>
  <si>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</si>
  <si>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</si>
  <si>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</si>
  <si>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</si>
  <si>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</si>
  <si>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</si>
  <si>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</si>
  <si>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</si>
  <si>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</si>
  <si>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</si>
  <si>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</si>
  <si>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0.86% of revenue, which is too low to be the company's real investment - property trusts and similar structures invest through lines that are not reported as capex. Capex has been set to 1.03%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</si>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</sst>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0.11352161443193465</v>
      </c>
    </row>
    <row r="7" spans="1:2" x14ac:dyDescent="0.25">
      <c r="A7" t="s">
        <v>5</v>
      </c>
      <c r="B7" s="6">
        <v>0.07445589605333061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0.01029025959472354</v>
      </c>
    </row>
    <row r="10" spans="1:2" x14ac:dyDescent="0.25">
      <c r="A10" t="s">
        <v>8</v>
      </c>
      <c r="B10" s="6">
        <v>0.01029025959472354</v>
      </c>
    </row>
    <row r="11" spans="1:2" x14ac:dyDescent="0.25">
      <c r="A11" t="s">
        <v>9</v>
      </c>
      <c r="B11" s="6">
        <v>-0.034618626211546565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16.659013243472668</v>
      </c>
    </row>
    <row r="14" spans="1:3" x14ac:dyDescent="0.25">
      <c r="A14" t="s">
        <v>12</v>
      </c>
      <c r="B14" s="6">
        <v>0.158169560342775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0.74674</v>
      </c>
      <c r="C19" s="8" t="s">
        <v>19</v>
      </c>
    </row>
    <row r="20" spans="1:2" x14ac:dyDescent="0.25">
      <c r="A20" t="s">
        <v>20</v>
      </c>
      <c r="B20" s="10">
        <f>B17+B19*B18</f>
        <v>0.0910507</v>
      </c>
    </row>
    <row r="21" spans="1:3" x14ac:dyDescent="0.25">
      <c r="A21" t="s">
        <v>21</v>
      </c>
      <c r="B21" s="6">
        <v>0.051541280031939626</v>
      </c>
      <c r="C21" s="8" t="s">
        <v>22</v>
      </c>
    </row>
    <row r="22" spans="1:2" x14ac:dyDescent="0.25">
      <c r="A22" t="s">
        <v>23</v>
      </c>
      <c r="B22" s="11">
        <v>338303483904</v>
      </c>
    </row>
    <row r="23" spans="1:2" x14ac:dyDescent="0.25">
      <c r="A23" t="s">
        <v>24</v>
      </c>
      <c r="B23" s="11">
        <v>78389000000</v>
      </c>
    </row>
    <row r="24" spans="1:2" x14ac:dyDescent="0.25">
      <c r="A24" t="s">
        <v>25</v>
      </c>
      <c r="B24" s="10">
        <f>B22/(B22+B23)</f>
        <v>0.8118780562932839</v>
      </c>
    </row>
    <row r="25" spans="1:2" x14ac:dyDescent="0.25">
      <c r="A25" t="s">
        <v>26</v>
      </c>
      <c r="B25" s="10">
        <f>1-B24</f>
        <v>0.1881219437067161</v>
      </c>
    </row>
    <row r="26" spans="1:2" x14ac:dyDescent="0.25">
      <c r="A26" t="s">
        <v>27</v>
      </c>
      <c r="B26" s="12">
        <f>B24*B20+B25*B21*(1-B8)</f>
        <v>0.08158194150692802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447567000000</v>
      </c>
      <c r="C29" s="8" t="s">
        <v>30</v>
      </c>
    </row>
    <row r="30" spans="1:2" x14ac:dyDescent="0.25">
      <c r="A30" t="s">
        <v>31</v>
      </c>
      <c r="B30" s="11">
        <v>50268000000</v>
      </c>
    </row>
    <row r="31" spans="1:2" x14ac:dyDescent="0.25">
      <c r="A31" t="s">
        <v>32</v>
      </c>
      <c r="B31" s="13">
        <v>911000000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0.11352161443193465</v>
      </c>
      <c r="C5" s="10">
        <f>Assumptions!B6</f>
        <v>0.11352161443193465</v>
      </c>
      <c r="D5" s="10">
        <f>Assumptions!B6</f>
        <v>0.11352161443193465</v>
      </c>
      <c r="E5" s="10">
        <f>Assumptions!B6</f>
        <v>0.11352161443193465</v>
      </c>
      <c r="F5" s="10">
        <f>Assumptions!B6</f>
        <v>0.11352161443193465</v>
      </c>
    </row>
    <row r="6" spans="1:6" x14ac:dyDescent="0.25">
      <c r="A6" t="s">
        <v>43</v>
      </c>
      <c r="B6" s="18">
        <f>Assumptions!B29*(1+B5)</f>
        <v>498375528406.4577</v>
      </c>
      <c r="C6" s="18">
        <f>B6*(1+C5)</f>
        <v>554951922984.5273</v>
      </c>
      <c r="D6" s="18">
        <f>C6*(1+D5)</f>
        <v>617950961213.8375</v>
      </c>
      <c r="E6" s="18">
        <f>D6*(1+E5)</f>
        <v>688101751970.5981</v>
      </c>
      <c r="F6" s="18">
        <f>E6*(1+F5)</f>
        <v>766216173747.7432</v>
      </c>
    </row>
    <row r="7" spans="1:6" x14ac:dyDescent="0.25">
      <c r="A7" t="s">
        <v>5</v>
      </c>
      <c r="B7" s="10">
        <f>Assumptions!B7</f>
        <v>0.07445589605333061</v>
      </c>
      <c r="C7" s="10">
        <f>Assumptions!B7</f>
        <v>0.07445589605333061</v>
      </c>
      <c r="D7" s="10">
        <f>Assumptions!B7</f>
        <v>0.07445589605333061</v>
      </c>
      <c r="E7" s="10">
        <f>Assumptions!B7</f>
        <v>0.07445589605333061</v>
      </c>
      <c r="F7" s="10">
        <f>Assumptions!B7</f>
        <v>0.07445589605333061</v>
      </c>
    </row>
    <row r="8" spans="1:6" x14ac:dyDescent="0.25">
      <c r="A8" t="s">
        <v>44</v>
      </c>
      <c r="B8" s="18">
        <f>B6*B7</f>
        <v>37106996538.55493</v>
      </c>
      <c r="C8" s="18">
        <f>C6*C7</f>
        <v>41319442692.3319</v>
      </c>
      <c r="D8" s="18">
        <f>D6*D7</f>
        <v>46010092534.19322</v>
      </c>
      <c r="E8" s="18">
        <f>E6*E7</f>
        <v>51233232518.83754</v>
      </c>
      <c r="F8" s="18">
        <f>F6*F7</f>
        <v>57049311786.94267</v>
      </c>
    </row>
    <row r="9" spans="1:6" x14ac:dyDescent="0.25">
      <c r="A9" t="s">
        <v>45</v>
      </c>
      <c r="B9" s="18">
        <f>B8*(1-Assumptions!B8)</f>
        <v>29314527265.458397</v>
      </c>
      <c r="C9" s="18">
        <f>C8*(1-Assumptions!B8)</f>
        <v>32642359726.942204</v>
      </c>
      <c r="D9" s="18">
        <f>D8*(1-Assumptions!B8)</f>
        <v>36347973102.01265</v>
      </c>
      <c r="E9" s="18">
        <f>E8*(1-Assumptions!B8)</f>
        <v>40474253689.88166</v>
      </c>
      <c r="F9" s="18">
        <f>F8*(1-Assumptions!B8)</f>
        <v>45068956311.684715</v>
      </c>
    </row>
    <row r="10" spans="1:6" x14ac:dyDescent="0.25">
      <c r="A10" t="s">
        <v>46</v>
      </c>
      <c r="B10" s="18">
        <f>B6*Assumptions!B9</f>
        <v>5128413562.959966</v>
      </c>
      <c r="C10" s="18">
        <f>C6*Assumptions!B9</f>
        <v>5710599350.101812</v>
      </c>
      <c r="D10" s="18">
        <f>D6*Assumptions!B9</f>
        <v>6358875807.6993265</v>
      </c>
      <c r="E10" s="18">
        <f>E6*Assumptions!B9</f>
        <v>7080745655.361526</v>
      </c>
      <c r="F10" s="18">
        <f>F6*Assumptions!B9</f>
        <v>7884563333.540073</v>
      </c>
    </row>
    <row r="11" spans="1:6" x14ac:dyDescent="0.25">
      <c r="A11" t="s">
        <v>47</v>
      </c>
      <c r="B11" s="18">
        <f>-B6*Assumptions!B10</f>
        <v>-5128413562.959966</v>
      </c>
      <c r="C11" s="18">
        <f>-C6*Assumptions!B10</f>
        <v>-5710599350.101812</v>
      </c>
      <c r="D11" s="18">
        <f>-D6*Assumptions!B10</f>
        <v>-6358875807.6993265</v>
      </c>
      <c r="E11" s="18">
        <f>-E6*Assumptions!B10</f>
        <v>-7080745655.361526</v>
      </c>
      <c r="F11" s="18">
        <f>-F6*Assumptions!B10</f>
        <v>-7884563333.540073</v>
      </c>
    </row>
    <row r="12" spans="1:6" x14ac:dyDescent="0.25">
      <c r="A12" t="s">
        <v>48</v>
      </c>
      <c r="B12" s="18">
        <f>-(B6-Assumptions!B29)*Assumptions!B11</f>
        <v>1758921453.2619047</v>
      </c>
      <c r="C12" s="18">
        <f>-(C6-B6)*Assumptions!B11</f>
        <v>1958597056.2951627</v>
      </c>
      <c r="D12" s="18">
        <f>-(D6-C6)*Assumptions!B11</f>
        <v>2180940156.1474214</v>
      </c>
      <c r="E12" s="18">
        <f>-(E6-D6)*Assumptions!B11</f>
        <v>2428524003.652712</v>
      </c>
      <c r="F12" s="18">
        <f>-(F6-E6)*Assumptions!B11</f>
        <v>2704213969.2340765</v>
      </c>
    </row>
    <row r="13" spans="1:6" x14ac:dyDescent="0.25">
      <c r="A13" s="19" t="s">
        <v>49</v>
      </c>
      <c r="B13" s="20">
        <f>B9+B10+B11+B12</f>
        <v>31073448718.720306</v>
      </c>
      <c r="C13" s="20">
        <f>C9+C10+C11+C12</f>
        <v>34600956783.237366</v>
      </c>
      <c r="D13" s="20">
        <f>D9+D10+D11+D12</f>
        <v>38528913258.16007</v>
      </c>
      <c r="E13" s="20">
        <f>E9+E10+E11+E12</f>
        <v>42902777693.53437</v>
      </c>
      <c r="F13" s="20">
        <f>F9+F10+F11+F12</f>
        <v>47773170280.9188</v>
      </c>
    </row>
    <row r="14" spans="1:6" x14ac:dyDescent="0.25">
      <c r="A14" t="s">
        <v>50</v>
      </c>
      <c r="B14" s="21">
        <f>1/(1+Assumptions!$B$26)^(1-0.5*Assumptions!$B$32)</f>
        <v>0.9615464886062692</v>
      </c>
      <c r="C14" s="21">
        <f>1/(1+Assumptions!$B$26)^(2-0.5*Assumptions!$B$32)</f>
        <v>0.8890186232830238</v>
      </c>
      <c r="D14" s="21">
        <f>1/(1+Assumptions!$B$26)^(3-0.5*Assumptions!$B$32)</f>
        <v>0.8219614151881891</v>
      </c>
      <c r="E14" s="21">
        <f>1/(1+Assumptions!$B$26)^(4-0.5*Assumptions!$B$32)</f>
        <v>0.7599622216722486</v>
      </c>
      <c r="F14" s="21">
        <f>1/(1+Assumptions!$B$26)^(5-0.5*Assumptions!$B$32)</f>
        <v>0.7026395250399812</v>
      </c>
    </row>
    <row r="15" spans="1:6" x14ac:dyDescent="0.25">
      <c r="A15" s="19" t="s">
        <v>51</v>
      </c>
      <c r="B15" s="20">
        <f>B13*B14</f>
        <v>29878565504.372486</v>
      </c>
      <c r="C15" s="20">
        <f>C13*C14</f>
        <v>30760894963.709087</v>
      </c>
      <c r="D15" s="20">
        <f>D13*D14</f>
        <v>31669280067.340237</v>
      </c>
      <c r="E15" s="20">
        <f>E13*E14</f>
        <v>32604490251.88897</v>
      </c>
      <c r="F15" s="20">
        <f>F13*F14</f>
        <v>33567317675.83893</v>
      </c>
    </row>
    <row r="17" spans="1:2" x14ac:dyDescent="0.25">
      <c r="A17" s="22" t="s">
        <v>52</v>
      </c>
      <c r="B17" s="23">
        <f>SUM(B15:F15)</f>
        <v>158480548463.14972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47773170280.9188</v>
      </c>
    </row>
    <row r="5" spans="1:2" x14ac:dyDescent="0.25">
      <c r="A5" t="s">
        <v>56</v>
      </c>
      <c r="B5" s="18">
        <f>IF(Assumptions!$B$33=0,B4,B4-Forecast!F11-Forecast!F10-Forecast!F12)</f>
        <v>45068956311.684715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0.15805822527306515</v>
      </c>
    </row>
    <row r="7" spans="1:2" x14ac:dyDescent="0.25">
      <c r="A7" t="s">
        <v>58</v>
      </c>
      <c r="B7" s="18">
        <f>-MAX(Forecast!F9,0)*B6</f>
        <v>-7123519249.534194</v>
      </c>
    </row>
    <row r="8" spans="1:2" x14ac:dyDescent="0.25">
      <c r="A8" t="s">
        <v>59</v>
      </c>
      <c r="B8" s="18">
        <f>IF(OR(Assumptions!$B$33=0,Assumptions!B12&lt;=0),B5,MAX(B5+B7,0))</f>
        <v>37945437062.15052</v>
      </c>
    </row>
    <row r="9" spans="1:2" x14ac:dyDescent="0.25">
      <c r="A9" t="s">
        <v>60</v>
      </c>
      <c r="B9" s="18">
        <f>B8*(1+Assumptions!B12)/(Assumptions!B26-Assumptions!B12)</f>
        <v>687393750600.481</v>
      </c>
    </row>
    <row r="10" spans="1:2" x14ac:dyDescent="0.25">
      <c r="A10" t="s">
        <v>61</v>
      </c>
      <c r="B10" s="18">
        <f>B9/(1+Assumptions!B26)^(5-0.5*Assumptions!B32)</f>
        <v>482990018437.3732</v>
      </c>
    </row>
    <row r="11" spans="1:2" x14ac:dyDescent="0.25">
      <c r="A11" t="s">
        <v>62</v>
      </c>
      <c r="B11" s="18">
        <f>Forecast!B17+B10</f>
        <v>641470566900.523</v>
      </c>
    </row>
    <row r="12" spans="1:2" x14ac:dyDescent="0.25">
      <c r="A12" t="s">
        <v>63</v>
      </c>
      <c r="B12" s="18">
        <f>-Assumptions!B30</f>
        <v>-50268000000</v>
      </c>
    </row>
    <row r="13" spans="1:2" x14ac:dyDescent="0.25">
      <c r="A13" t="s">
        <v>64</v>
      </c>
      <c r="B13" s="18">
        <f>B11+B12</f>
        <v>591202566900.523</v>
      </c>
    </row>
    <row r="14" spans="1:2" x14ac:dyDescent="0.25">
      <c r="A14" s="19" t="s">
        <v>65</v>
      </c>
      <c r="B14" s="24">
        <f>B13/Assumptions!B31</f>
        <v>648.9600075746685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64933875120.48274</v>
      </c>
    </row>
    <row r="18" spans="1:2" x14ac:dyDescent="0.25">
      <c r="A18" t="s">
        <v>60</v>
      </c>
      <c r="B18" s="18">
        <f>B17*Assumptions!B13</f>
        <v>1081734285582.1223</v>
      </c>
    </row>
    <row r="19" spans="1:2" x14ac:dyDescent="0.25">
      <c r="A19" t="s">
        <v>61</v>
      </c>
      <c r="B19" s="18">
        <f>B18/(1+Assumptions!B26)^(5-0.5*Assumptions!B32)</f>
        <v>760069264640.8857</v>
      </c>
    </row>
    <row r="20" spans="1:2" x14ac:dyDescent="0.25">
      <c r="A20" t="s">
        <v>62</v>
      </c>
      <c r="B20" s="18">
        <f>Forecast!B17+B19</f>
        <v>918549813104.0354</v>
      </c>
    </row>
    <row r="21" spans="1:2" x14ac:dyDescent="0.25">
      <c r="A21" t="s">
        <v>63</v>
      </c>
      <c r="B21" s="18">
        <f>-Assumptions!B30</f>
        <v>-50268000000</v>
      </c>
    </row>
    <row r="22" spans="1:2" x14ac:dyDescent="0.25">
      <c r="A22" t="s">
        <v>64</v>
      </c>
      <c r="B22" s="18">
        <f>B20+B21</f>
        <v>868281813104.0354</v>
      </c>
    </row>
    <row r="23" spans="1:2" x14ac:dyDescent="0.25">
      <c r="A23" s="19" t="s">
        <v>65</v>
      </c>
      <c r="B23" s="25">
        <f>B22/Assumptions!B31</f>
        <v>953.1084666345065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376.9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648.9600075746685</v>
      </c>
    </row>
    <row r="29" spans="1:2" x14ac:dyDescent="0.25">
      <c r="A29" s="19" t="s">
        <v>73</v>
      </c>
      <c r="B29" s="12">
        <f>B28/B26-1</f>
        <v>0.7218360508746842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0.061582</v>
      </c>
      <c r="B5" s="31">
        <v>873.02075704624</v>
      </c>
      <c r="C5" s="31">
        <v>937.4813227289073</v>
      </c>
      <c r="D5" s="31">
        <v>1019.2360318059484</v>
      </c>
      <c r="E5" s="31">
        <v>1126.4988083770293</v>
      </c>
      <c r="F5" s="31">
        <v>1273.6636413222404</v>
      </c>
    </row>
    <row r="6" spans="1:6" x14ac:dyDescent="0.25">
      <c r="A6" s="30">
        <v>0.071582</v>
      </c>
      <c r="B6" s="31">
        <v>711.5017086198662</v>
      </c>
      <c r="C6" s="31">
        <v>749.0721919829415</v>
      </c>
      <c r="D6" s="31">
        <v>794.4621609969323</v>
      </c>
      <c r="E6" s="31">
        <v>850.4923622532424</v>
      </c>
      <c r="F6" s="31">
        <v>921.5256923577101</v>
      </c>
    </row>
    <row r="7" spans="1:6" x14ac:dyDescent="0.25">
      <c r="A7" s="30">
        <v>0.081582</v>
      </c>
      <c r="B7" s="31">
        <v>598.4388993610486</v>
      </c>
      <c r="C7" s="31">
        <v>621.7373808820853</v>
      </c>
      <c r="D7" s="32">
        <v>648.9593063986396</v>
      </c>
      <c r="E7" s="31">
        <v>681.2456099561689</v>
      </c>
      <c r="F7" s="31">
        <v>720.227086080769</v>
      </c>
    </row>
    <row r="8" spans="1:6" x14ac:dyDescent="0.25">
      <c r="A8" s="30">
        <v>0.091582</v>
      </c>
      <c r="B8" s="31">
        <v>514.8545631863116</v>
      </c>
      <c r="C8" s="31">
        <v>529.8876871202083</v>
      </c>
      <c r="D8" s="31">
        <v>547.0203052370421</v>
      </c>
      <c r="E8" s="31">
        <v>566.7638074355509</v>
      </c>
      <c r="F8" s="31">
        <v>589.8103442446155</v>
      </c>
    </row>
    <row r="9" spans="1:6" x14ac:dyDescent="0.25">
      <c r="A9" s="30">
        <v>0.101582</v>
      </c>
      <c r="B9" s="31">
        <v>450.5381571647353</v>
      </c>
      <c r="C9" s="31">
        <v>460.479934963915</v>
      </c>
      <c r="D9" s="31">
        <v>471.58776932657446</v>
      </c>
      <c r="E9" s="31">
        <v>484.1060072736436</v>
      </c>
      <c r="F9" s="31">
        <v>498.3523931469284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447567000000</v>
      </c>
      <c r="C5" s="18">
        <v>400278000000</v>
      </c>
      <c r="D5" s="18">
        <v>371622000000</v>
      </c>
      <c r="E5" s="18">
        <v>324162000000</v>
      </c>
      <c r="F5" s="8" t="s">
        <v>84</v>
      </c>
    </row>
    <row r="6" spans="1:6" x14ac:dyDescent="0.25">
      <c r="A6" t="s">
        <v>44</v>
      </c>
      <c r="B6" s="18">
        <v>18964000000</v>
      </c>
      <c r="C6" s="18">
        <v>32287000000</v>
      </c>
      <c r="D6" s="18">
        <v>32358000000</v>
      </c>
      <c r="E6" s="18">
        <v>28435000000</v>
      </c>
      <c r="F6" s="8" t="s">
        <v>85</v>
      </c>
    </row>
    <row r="7" spans="1:6" x14ac:dyDescent="0.25">
      <c r="A7" t="s">
        <v>86</v>
      </c>
      <c r="B7" s="18">
        <v>4361000000</v>
      </c>
      <c r="C7" s="18">
        <v>4099000000</v>
      </c>
      <c r="D7" s="18">
        <v>3972000000</v>
      </c>
      <c r="E7" s="18">
        <v>3400000000</v>
      </c>
      <c r="F7" s="8" t="s">
        <v>87</v>
      </c>
    </row>
    <row r="8" spans="1:6" x14ac:dyDescent="0.25">
      <c r="A8" t="s">
        <v>88</v>
      </c>
      <c r="B8" s="18">
        <v>3622000000</v>
      </c>
      <c r="C8" s="18">
        <v>3499000000</v>
      </c>
      <c r="D8" s="18">
        <v>3386000000</v>
      </c>
      <c r="E8" s="18">
        <v>2802000000</v>
      </c>
      <c r="F8" s="8" t="s">
        <v>89</v>
      </c>
    </row>
    <row r="9" spans="1:6" x14ac:dyDescent="0.25">
      <c r="A9" t="s">
        <v>90</v>
      </c>
      <c r="B9" s="18">
        <v>-2282000000</v>
      </c>
      <c r="C9" s="18">
        <v>808000000</v>
      </c>
      <c r="D9" s="18">
        <v>-1643000000</v>
      </c>
      <c r="E9" s="18">
        <v>-2246000000</v>
      </c>
      <c r="F9" s="8" t="s">
        <v>91</v>
      </c>
    </row>
    <row r="10" spans="1:6" x14ac:dyDescent="0.25">
      <c r="A10" t="s">
        <v>92</v>
      </c>
      <c r="B10" s="18">
        <v>78389000000</v>
      </c>
      <c r="C10" s="18">
        <v>76904000000</v>
      </c>
      <c r="D10" s="18">
        <v>62537000000</v>
      </c>
      <c r="E10" s="18">
        <v>57623000000</v>
      </c>
      <c r="F10" s="8" t="s">
        <v>93</v>
      </c>
    </row>
    <row r="11" spans="1:6" x14ac:dyDescent="0.25">
      <c r="A11" t="s">
        <v>94</v>
      </c>
      <c r="B11" s="18">
        <v>28121000000</v>
      </c>
      <c r="C11" s="18">
        <v>29113000000</v>
      </c>
      <c r="D11" s="18">
        <v>29628000000</v>
      </c>
      <c r="E11" s="18">
        <v>27911000000</v>
      </c>
      <c r="F11" s="8" t="s">
        <v>95</v>
      </c>
    </row>
    <row r="12" spans="1:6" x14ac:dyDescent="0.25">
      <c r="A12" t="s">
        <v>32</v>
      </c>
      <c r="B12" s="34">
        <v>911000000</v>
      </c>
      <c r="C12" s="34">
        <v>929000000</v>
      </c>
      <c r="D12" s="34">
        <v>938000000</v>
      </c>
      <c r="E12" s="34">
        <v>950000000</v>
      </c>
      <c r="F12" s="8" t="s">
        <v>96</v>
      </c>
    </row>
    <row r="15" spans="1:1" x14ac:dyDescent="0.25">
      <c r="A15" s="19" t="s">
        <v>97</v>
      </c>
    </row>
    <row r="16" ht="86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2026-09-19T00:07:11Z</dcterms:modified>
</cp:coreProperties>
</file>