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<sst xmlns="http://schemas.openxmlformats.org/spreadsheetml/2006/main" count="113" uniqueCount="101">
  <si>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Unicaja Banco, S.A. (UNI.MC)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</si>
  <si>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</si>
  <si>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</si>
  <si>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</si>
  <si>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</si>
  <si>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</si>
  <si>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</si>
  <si>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</si>
  <si>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</si>
  <si>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</si>
  <si>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</si>
  <si>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</si>
  <si>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</si>
  <si>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</si>
  <si>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</si>
  <si>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</si>
  <si>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</si>
  <si>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</si>
  <si>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</si>
  <si>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</si>
  <si>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</si>
  <si>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</si>
  <si>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19.9%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</si>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</sst>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0.06365245472066094</v>
      </c>
    </row>
    <row r="7" spans="1:2" x14ac:dyDescent="0.25">
      <c r="A7" t="s">
        <v>5</v>
      </c>
      <c r="B7" s="6">
        <v>0.3051210717160468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0.045604834127391525</v>
      </c>
    </row>
    <row r="10" spans="1:2" x14ac:dyDescent="0.25">
      <c r="A10" t="s">
        <v>8</v>
      </c>
      <c r="B10" s="6">
        <v>0.03697942389814113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7.640869527939322</v>
      </c>
    </row>
    <row r="14" spans="1:3" x14ac:dyDescent="0.25">
      <c r="A14" t="s">
        <v>12</v>
      </c>
      <c r="B14" s="6">
        <v>0.06983068366032243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0.58795</v>
      </c>
      <c r="C19" s="8" t="s">
        <v>19</v>
      </c>
    </row>
    <row r="20" spans="1:2" x14ac:dyDescent="0.25">
      <c r="A20" t="s">
        <v>20</v>
      </c>
      <c r="B20" s="10">
        <f>B17+B19*B18</f>
        <v>0.08021675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9240385536</v>
      </c>
    </row>
    <row r="23" spans="1:2" x14ac:dyDescent="0.25">
      <c r="A23" t="s">
        <v>24</v>
      </c>
      <c r="B23" s="11">
        <v>4113521000</v>
      </c>
    </row>
    <row r="24" spans="1:2" x14ac:dyDescent="0.25">
      <c r="A24" t="s">
        <v>25</v>
      </c>
      <c r="B24" s="10">
        <f>B22/(B22+B23)</f>
        <v>0.6919612258097955</v>
      </c>
    </row>
    <row r="25" spans="1:2" x14ac:dyDescent="0.25">
      <c r="A25" t="s">
        <v>26</v>
      </c>
      <c r="B25" s="10">
        <f>1-B24</f>
        <v>0.30803877419020453</v>
      </c>
    </row>
    <row r="26" spans="1:2" x14ac:dyDescent="0.25">
      <c r="A26" t="s">
        <v>27</v>
      </c>
      <c r="B26" s="12">
        <f>B24*B20+B25*B21*(1-B8)</f>
        <v>0.06983068366032243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2097189000</v>
      </c>
      <c r="C29" s="8" t="s">
        <v>30</v>
      </c>
    </row>
    <row r="30" spans="1:2" x14ac:dyDescent="0.25">
      <c r="A30" t="s">
        <v>31</v>
      </c>
      <c r="B30" s="11">
        <v>-1647600000</v>
      </c>
    </row>
    <row r="31" spans="1:2" x14ac:dyDescent="0.25">
      <c r="A31" t="s">
        <v>32</v>
      </c>
      <c r="B31" s="13">
        <v>2569065000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0.06365245472066094</v>
      </c>
      <c r="C5" s="10">
        <f>Assumptions!B6</f>
        <v>0.06365245472066094</v>
      </c>
      <c r="D5" s="10">
        <f>Assumptions!B6</f>
        <v>0.06365245472066094</v>
      </c>
      <c r="E5" s="10">
        <f>Assumptions!B6</f>
        <v>0.06365245472066094</v>
      </c>
      <c r="F5" s="10">
        <f>Assumptions!B6</f>
        <v>0.06365245472066094</v>
      </c>
    </row>
    <row r="6" spans="1:6" x14ac:dyDescent="0.25">
      <c r="A6" t="s">
        <v>43</v>
      </c>
      <c r="B6" s="18">
        <f>Assumptions!B29*(1+B5)</f>
        <v>2230680227.8631682</v>
      </c>
      <c r="C6" s="18">
        <f>B6*(1+C5)</f>
        <v>2372668500.0635023</v>
      </c>
      <c r="D6" s="18">
        <f>C6*(1+D5)</f>
        <v>2523694674.330933</v>
      </c>
      <c r="E6" s="18">
        <f>D6*(1+E5)</f>
        <v>2684334035.317556</v>
      </c>
      <c r="F6" s="18">
        <f>E6*(1+F5)</f>
        <v>2855198485.9557357</v>
      </c>
    </row>
    <row r="7" spans="1:6" x14ac:dyDescent="0.25">
      <c r="A7" t="s">
        <v>5</v>
      </c>
      <c r="B7" s="10">
        <f>Assumptions!B7</f>
        <v>0.3051210717160468</v>
      </c>
      <c r="C7" s="10">
        <f>Assumptions!B7</f>
        <v>0.3051210717160468</v>
      </c>
      <c r="D7" s="10">
        <f>Assumptions!B7</f>
        <v>0.3051210717160468</v>
      </c>
      <c r="E7" s="10">
        <f>Assumptions!B7</f>
        <v>0.3051210717160468</v>
      </c>
      <c r="F7" s="10">
        <f>Assumptions!B7</f>
        <v>0.3051210717160468</v>
      </c>
    </row>
    <row r="8" spans="1:6" x14ac:dyDescent="0.25">
      <c r="A8" t="s">
        <v>44</v>
      </c>
      <c r="B8" s="18">
        <f>B6*B7</f>
        <v>680627541.7814053</v>
      </c>
      <c r="C8" s="18">
        <f>C6*C7</f>
        <v>723951155.5662811</v>
      </c>
      <c r="D8" s="18">
        <f>D6*D7</f>
        <v>770032423.715934</v>
      </c>
      <c r="E8" s="18">
        <f>E6*E7</f>
        <v>819046877.6999533</v>
      </c>
      <c r="F8" s="18">
        <f>F6*F7</f>
        <v>871181221.9968482</v>
      </c>
    </row>
    <row r="9" spans="1:6" x14ac:dyDescent="0.25">
      <c r="A9" t="s">
        <v>45</v>
      </c>
      <c r="B9" s="18">
        <f>B8*(1-Assumptions!B8)</f>
        <v>510470656.33605397</v>
      </c>
      <c r="C9" s="18">
        <f>C8*(1-Assumptions!B8)</f>
        <v>542963366.6747108</v>
      </c>
      <c r="D9" s="18">
        <f>D8*(1-Assumptions!B8)</f>
        <v>577524317.7869506</v>
      </c>
      <c r="E9" s="18">
        <f>E8*(1-Assumptions!B8)</f>
        <v>614285158.274965</v>
      </c>
      <c r="F9" s="18">
        <f>F8*(1-Assumptions!B8)</f>
        <v>653385916.4976362</v>
      </c>
    </row>
    <row r="10" spans="1:6" x14ac:dyDescent="0.25">
      <c r="A10" t="s">
        <v>46</v>
      </c>
      <c r="B10" s="18">
        <f>B6*Assumptions!B9</f>
        <v>101729801.78295171</v>
      </c>
      <c r="C10" s="18">
        <f>C6*Assumptions!B9</f>
        <v>108205153.38468286</v>
      </c>
      <c r="D10" s="18">
        <f>D6*Assumptions!B9</f>
        <v>115092677.01104358</v>
      </c>
      <c r="E10" s="18">
        <f>E6*Assumptions!B9</f>
        <v>122418608.42316867</v>
      </c>
      <c r="F10" s="18">
        <f>F6*Assumptions!B9</f>
        <v>130210853.35279074</v>
      </c>
    </row>
    <row r="11" spans="1:6" x14ac:dyDescent="0.25">
      <c r="A11" t="s">
        <v>47</v>
      </c>
      <c r="B11" s="18">
        <f>-B6*Assumptions!B10</f>
        <v>-82489269.72735414</v>
      </c>
      <c r="C11" s="18">
        <f>-C6*Assumptions!B10</f>
        <v>-87739914.23361494</v>
      </c>
      <c r="D11" s="18">
        <f>-D6*Assumptions!B10</f>
        <v>-93324775.15156479</v>
      </c>
      <c r="E11" s="18">
        <f>-E6*Assumptions!B10</f>
        <v>-99265126.17621563</v>
      </c>
      <c r="F11" s="18">
        <f>-F6*Assumptions!B10</f>
        <v>-105583595.1254879</v>
      </c>
    </row>
    <row r="12" spans="1:6" x14ac:dyDescent="0.25">
      <c r="A12" t="s">
        <v>48</v>
      </c>
      <c r="B12" s="18">
        <f>-(B6-Assumptions!B29)*Assumptions!B11</f>
        <v>133491227.86316824</v>
      </c>
      <c r="C12" s="18">
        <f>-(C6-B6)*Assumptions!B11</f>
        <v>141988272.20033407</v>
      </c>
      <c r="D12" s="18">
        <f>-(D6-C6)*Assumptions!B11</f>
        <v>151026174.26743078</v>
      </c>
      <c r="E12" s="18">
        <f>-(E6-D6)*Assumptions!B11</f>
        <v>160639360.9866228</v>
      </c>
      <c r="F12" s="18">
        <f>-(F6-E6)*Assumptions!B11</f>
        <v>170864450.63817978</v>
      </c>
    </row>
    <row r="13" spans="1:6" x14ac:dyDescent="0.25">
      <c r="A13" s="19" t="s">
        <v>49</v>
      </c>
      <c r="B13" s="20">
        <f>B9+B10+B11+B12</f>
        <v>663202416.2548198</v>
      </c>
      <c r="C13" s="20">
        <f>C9+C10+C11+C12</f>
        <v>705416878.0261128</v>
      </c>
      <c r="D13" s="20">
        <f>D9+D10+D11+D12</f>
        <v>750318393.9138601</v>
      </c>
      <c r="E13" s="20">
        <f>E9+E10+E11+E12</f>
        <v>798078001.5085409</v>
      </c>
      <c r="F13" s="20">
        <f>F9+F10+F11+F12</f>
        <v>848877625.3631188</v>
      </c>
    </row>
    <row r="14" spans="1:6" x14ac:dyDescent="0.25">
      <c r="A14" t="s">
        <v>50</v>
      </c>
      <c r="B14" s="21">
        <f>1/(1+Assumptions!$B$26)^(1-0.5*Assumptions!$B$32)</f>
        <v>0.9668129861074944</v>
      </c>
      <c r="C14" s="21">
        <f>1/(1+Assumptions!$B$26)^(2-0.5*Assumptions!$B$32)</f>
        <v>0.9037065405524144</v>
      </c>
      <c r="D14" s="21">
        <f>1/(1+Assumptions!$B$26)^(3-0.5*Assumptions!$B$32)</f>
        <v>0.8447192199241004</v>
      </c>
      <c r="E14" s="21">
        <f>1/(1+Assumptions!$B$26)^(4-0.5*Assumptions!$B$32)</f>
        <v>0.7895821580233379</v>
      </c>
      <c r="F14" s="21">
        <f>1/(1+Assumptions!$B$26)^(5-0.5*Assumptions!$B$32)</f>
        <v>0.7380440382602027</v>
      </c>
    </row>
    <row r="15" spans="1:6" x14ac:dyDescent="0.25">
      <c r="A15" s="19" t="s">
        <v>51</v>
      </c>
      <c r="B15" s="20">
        <f>B13*B14</f>
        <v>641192708.4530278</v>
      </c>
      <c r="C15" s="20">
        <f>C13*C14</f>
        <v>637489846.4882629</v>
      </c>
      <c r="D15" s="20">
        <f>D13*D14</f>
        <v>633808368.4016198</v>
      </c>
      <c r="E15" s="20">
        <f>E13*E14</f>
        <v>630148150.7020664</v>
      </c>
      <c r="F15" s="20">
        <f>F13*F14</f>
        <v>626509070.6117276</v>
      </c>
    </row>
    <row r="17" spans="1:2" x14ac:dyDescent="0.25">
      <c r="A17" s="22" t="s">
        <v>52</v>
      </c>
      <c r="B17" s="23">
        <f>SUM(B15:F15)</f>
        <v>3169148144.656705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848877625.3631188</v>
      </c>
    </row>
    <row r="5" spans="1:2" x14ac:dyDescent="0.25">
      <c r="A5" t="s">
        <v>56</v>
      </c>
      <c r="B5" s="18">
        <f>IF(Assumptions!$B$33=0,B4,B4-Forecast!F11-Forecast!F10-Forecast!F12)</f>
        <v>653385916.4976362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0.358008810591166</v>
      </c>
    </row>
    <row r="7" spans="1:2" x14ac:dyDescent="0.25">
      <c r="A7" t="s">
        <v>58</v>
      </c>
      <c r="B7" s="18">
        <f>-MAX(Forecast!F9,0)*B6</f>
        <v>-233917914.82233766</v>
      </c>
    </row>
    <row r="8" spans="1:2" x14ac:dyDescent="0.25">
      <c r="A8" t="s">
        <v>59</v>
      </c>
      <c r="B8" s="18">
        <f>IF(OR(Assumptions!$B$33=0,Assumptions!B12&lt;=0),B5,MAX(B5+B7,0))</f>
        <v>419468001.6752986</v>
      </c>
    </row>
    <row r="9" spans="1:2" x14ac:dyDescent="0.25">
      <c r="A9" t="s">
        <v>60</v>
      </c>
      <c r="B9" s="18">
        <f>B8*(1+Assumptions!B12)/(Assumptions!B26-Assumptions!B12)</f>
        <v>9590634507.715843</v>
      </c>
    </row>
    <row r="10" spans="1:2" x14ac:dyDescent="0.25">
      <c r="A10" t="s">
        <v>61</v>
      </c>
      <c r="B10" s="18">
        <f>B9/(1+Assumptions!B26)^(5-0.5*Assumptions!B32)</f>
        <v>7078310621.552252</v>
      </c>
    </row>
    <row r="11" spans="1:2" x14ac:dyDescent="0.25">
      <c r="A11" t="s">
        <v>62</v>
      </c>
      <c r="B11" s="18">
        <f>Forecast!B17+B10</f>
        <v>10247458766.208958</v>
      </c>
    </row>
    <row r="12" spans="1:2" x14ac:dyDescent="0.25">
      <c r="A12" t="s">
        <v>63</v>
      </c>
      <c r="B12" s="18">
        <f>-Assumptions!B30</f>
        <v>1647600000</v>
      </c>
    </row>
    <row r="13" spans="1:2" x14ac:dyDescent="0.25">
      <c r="A13" t="s">
        <v>64</v>
      </c>
      <c r="B13" s="18">
        <f>B11+B12</f>
        <v>11895058766.208958</v>
      </c>
    </row>
    <row r="14" spans="1:2" x14ac:dyDescent="0.25">
      <c r="A14" s="19" t="s">
        <v>65</v>
      </c>
      <c r="B14" s="24">
        <f>B13/Assumptions!B31</f>
        <v>4.630112031501327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1001392075.3496389</v>
      </c>
    </row>
    <row r="18" spans="1:2" x14ac:dyDescent="0.25">
      <c r="A18" t="s">
        <v>60</v>
      </c>
      <c r="B18" s="18">
        <f>B17*Assumptions!B13</f>
        <v>7651506194.058973</v>
      </c>
    </row>
    <row r="19" spans="1:2" x14ac:dyDescent="0.25">
      <c r="A19" t="s">
        <v>61</v>
      </c>
      <c r="B19" s="18">
        <f>B18/(1+Assumptions!B26)^(5-0.5*Assumptions!B32)</f>
        <v>5647148530.2362385</v>
      </c>
    </row>
    <row r="20" spans="1:2" x14ac:dyDescent="0.25">
      <c r="A20" t="s">
        <v>62</v>
      </c>
      <c r="B20" s="18">
        <f>Forecast!B17+B19</f>
        <v>8816296674.892944</v>
      </c>
    </row>
    <row r="21" spans="1:2" x14ac:dyDescent="0.25">
      <c r="A21" t="s">
        <v>63</v>
      </c>
      <c r="B21" s="18">
        <f>-Assumptions!B30</f>
        <v>1647600000</v>
      </c>
    </row>
    <row r="22" spans="1:2" x14ac:dyDescent="0.25">
      <c r="A22" t="s">
        <v>64</v>
      </c>
      <c r="B22" s="18">
        <f>B20+B21</f>
        <v>10463896674.892944</v>
      </c>
    </row>
    <row r="23" spans="1:2" x14ac:dyDescent="0.25">
      <c r="A23" s="19" t="s">
        <v>65</v>
      </c>
      <c r="B23" s="25">
        <f>B22/Assumptions!B31</f>
        <v>4.07303695114485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3.598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4.630112031501327</v>
      </c>
    </row>
    <row r="29" spans="1:2" x14ac:dyDescent="0.25">
      <c r="A29" s="19" t="s">
        <v>73</v>
      </c>
      <c r="B29" s="12">
        <f>B28/B26-1</f>
        <v>0.2868571516123757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0.049831</v>
      </c>
      <c r="B5" s="31">
        <v>6.096882224195009</v>
      </c>
      <c r="C5" s="31">
        <v>6.117385715160121</v>
      </c>
      <c r="D5" s="31">
        <v>6.137889206125228</v>
      </c>
      <c r="E5" s="31">
        <v>6.158392697090338</v>
      </c>
      <c r="F5" s="31">
        <v>6.178896188055449</v>
      </c>
    </row>
    <row r="6" spans="1:6" x14ac:dyDescent="0.25">
      <c r="A6" s="30">
        <v>0.059831</v>
      </c>
      <c r="B6" s="31">
        <v>5.225951890939447</v>
      </c>
      <c r="C6" s="31">
        <v>5.242315294316014</v>
      </c>
      <c r="D6" s="31">
        <v>5.258678697692581</v>
      </c>
      <c r="E6" s="31">
        <v>5.275042101069148</v>
      </c>
      <c r="F6" s="31">
        <v>5.291405504445714</v>
      </c>
    </row>
    <row r="7" spans="1:6" x14ac:dyDescent="0.25">
      <c r="A7" s="30">
        <v>0.069831</v>
      </c>
      <c r="B7" s="31">
        <v>4.603215047638701</v>
      </c>
      <c r="C7" s="31">
        <v>4.616655012036578</v>
      </c>
      <c r="D7" s="32">
        <v>4.630094976434452</v>
      </c>
      <c r="E7" s="31">
        <v>4.643534940832329</v>
      </c>
      <c r="F7" s="31">
        <v>4.6569749052302045</v>
      </c>
    </row>
    <row r="8" spans="1:6" x14ac:dyDescent="0.25">
      <c r="A8" s="30">
        <v>0.079831</v>
      </c>
      <c r="B8" s="31">
        <v>4.135470897224061</v>
      </c>
      <c r="C8" s="31">
        <v>4.146745261205416</v>
      </c>
      <c r="D8" s="31">
        <v>4.158019625186768</v>
      </c>
      <c r="E8" s="31">
        <v>4.169293989168121</v>
      </c>
      <c r="F8" s="31">
        <v>4.180568353149475</v>
      </c>
    </row>
    <row r="9" spans="1:6" x14ac:dyDescent="0.25">
      <c r="A9" s="30">
        <v>0.089831</v>
      </c>
      <c r="B9" s="31">
        <v>3.771014775586601</v>
      </c>
      <c r="C9" s="31">
        <v>3.7806269632141416</v>
      </c>
      <c r="D9" s="31">
        <v>3.7902391508416824</v>
      </c>
      <c r="E9" s="31">
        <v>3.7998513384692227</v>
      </c>
      <c r="F9" s="31">
        <v>3.809463526096764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2097189000</v>
      </c>
      <c r="C5" s="18">
        <v>2128430000</v>
      </c>
      <c r="D5" s="18">
        <v>1977103000</v>
      </c>
      <c r="E5" s="18">
        <v>1742763000</v>
      </c>
      <c r="F5" s="8" t="s">
        <v>84</v>
      </c>
    </row>
    <row r="6" spans="1:6" x14ac:dyDescent="0.25">
      <c r="A6" t="s">
        <v>44</v>
      </c>
      <c r="B6" s="18">
        <v>901498000</v>
      </c>
      <c r="C6" s="18">
        <v>816285000</v>
      </c>
      <c r="D6" s="18">
        <v>370569000</v>
      </c>
      <c r="E6" s="18">
        <v>382848000</v>
      </c>
      <c r="F6" s="8" t="s">
        <v>85</v>
      </c>
    </row>
    <row r="7" spans="1:6" x14ac:dyDescent="0.25">
      <c r="A7" t="s">
        <v>86</v>
      </c>
      <c r="B7" s="18">
        <v>92209000</v>
      </c>
      <c r="C7" s="18">
        <v>86850000</v>
      </c>
      <c r="D7" s="18">
        <v>90502000</v>
      </c>
      <c r="E7" s="18">
        <v>90400000</v>
      </c>
      <c r="F7" s="8" t="s">
        <v>87</v>
      </c>
    </row>
    <row r="8" spans="1:6" x14ac:dyDescent="0.25">
      <c r="A8" t="s">
        <v>88</v>
      </c>
      <c r="B8" s="18">
        <v>109050000</v>
      </c>
      <c r="C8" s="18">
        <v>51016000</v>
      </c>
      <c r="D8" s="18">
        <v>68744000</v>
      </c>
      <c r="E8" s="18">
        <v>64797000</v>
      </c>
      <c r="F8" s="8" t="s">
        <v>89</v>
      </c>
    </row>
    <row r="9" spans="1:6" x14ac:dyDescent="0.25">
      <c r="A9" t="s">
        <v>90</v>
      </c>
      <c r="B9" s="18">
        <v>2308423000</v>
      </c>
      <c r="C9" s="18">
        <v>1381559000</v>
      </c>
      <c r="D9" s="18">
        <v>-2036014000</v>
      </c>
      <c r="E9" s="18">
        <v>17846234000</v>
      </c>
      <c r="F9" s="8" t="s">
        <v>91</v>
      </c>
    </row>
    <row r="10" spans="1:6" x14ac:dyDescent="0.25">
      <c r="A10" t="s">
        <v>92</v>
      </c>
      <c r="B10" s="18">
        <v>4113521000</v>
      </c>
      <c r="C10" s="18">
        <v>4296124000</v>
      </c>
      <c r="D10" s="18">
        <v>5089631000</v>
      </c>
      <c r="E10" s="18">
        <v>4477194000</v>
      </c>
      <c r="F10" s="8" t="s">
        <v>93</v>
      </c>
    </row>
    <row r="11" spans="1:6" x14ac:dyDescent="0.25">
      <c r="A11" t="s">
        <v>94</v>
      </c>
      <c r="B11" s="18">
        <v>5761121000</v>
      </c>
      <c r="C11" s="18">
        <v>7501284000</v>
      </c>
      <c r="D11" s="18">
        <v>8037800000</v>
      </c>
      <c r="E11" s="18">
        <v>4660918000</v>
      </c>
      <c r="F11" s="8" t="s">
        <v>95</v>
      </c>
    </row>
    <row r="12" spans="1:6" x14ac:dyDescent="0.25">
      <c r="A12" t="s">
        <v>32</v>
      </c>
      <c r="B12" s="34">
        <v>2569065000</v>
      </c>
      <c r="C12" s="34">
        <v>2612444000</v>
      </c>
      <c r="D12" s="34">
        <v>2655118000</v>
      </c>
      <c r="E12" s="34">
        <v>2653106000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