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<sst xmlns="http://schemas.openxmlformats.org/spreadsheetml/2006/main" count="116" uniqueCount="104">
  <si>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Unipol Assicurazioni S.p.A. (UNI.MI)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</si>
  <si>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</si>
  <si>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</si>
  <si>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</si>
  <si>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</si>
  <si>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</si>
  <si>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</si>
  <si>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</si>
  <si>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</si>
  <si>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</si>
  <si>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</si>
  <si>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</si>
  <si>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</si>
  <si>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</si>
  <si>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</si>
  <si>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</si>
  <si>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</si>
  <si>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</si>
  <si>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</si>
  <si>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</si>
  <si>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</si>
  <si>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</si>
  <si>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</si>
  <si>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</si>
  <si>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</si>
  <si>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</si>
  <si>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</si>
  <si>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</si>
  <si>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</si>
  <si>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</si>
  <si>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</si>
  <si>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</si>
  <si>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</si>
  <si>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</si>
  <si>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</si>
  <si>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</si>
  <si>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</si>
  <si>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</si>
  <si>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</si>
  <si>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</si>
  <si>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</si>
  <si>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</si>
  <si>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</si>
  <si>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</si>
  <si>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</si>
  <si>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</si>
  <si>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</si>
  <si>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</si>
  <si>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</si>
  <si>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</si>
  <si>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</si>
  <si>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</si>
  <si>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</si>
  <si>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</si>
  <si>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</si>
  <si>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</si>
  <si>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</si>
  <si>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</si>
  <si>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</si>
  <si>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</si>
  <si>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</si>
  <si>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</si>
  <si>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</si>
  <si>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</si>
  <si>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</si>
  <si>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</si>
  <si>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</si>
  <si>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</si>
  <si>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</si>
  <si>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</si>
  <si>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</si>
  <si>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</si>
  <si>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</si>
  <si>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</si>
  <si>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</si>
  <si>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</si>
  <si>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</si>
  <si>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</si>
  <si>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</si>
  <si>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</si>
  <si>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</si>
  <si>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</si>
  <si>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</si>
  <si>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</si>
  <si>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</si>
  <si>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</si>
  <si>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</si>
  <si>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</si>
  <si>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</si>
  <si>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</si>
  <si>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</si>
  <si>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</si>
  <si>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</si>
  <si>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</si>
  <si>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</si>
  <si>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</si>
  <si>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</si>
  <si>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</si>
  <si>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</si>
  <si>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Consensus rests on as few as 1 analyst estimate(s).</t>
  </si>
  <si>
    <t>Adjusted: Capital expenditure runs at 7.4% of revenue against depreciation of 0.4%.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</si>
  <si>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</si>
  <si>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No usable EV/EBITDA (EBITDA is not positive), so the exit multiple falls back to 8x.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</si>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</sst>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0.11099172791408707</v>
      </c>
    </row>
    <row r="7" spans="1:2" x14ac:dyDescent="0.25">
      <c r="A7" t="s">
        <v>5</v>
      </c>
      <c r="B7" s="6">
        <v>0.11588380352770897</v>
      </c>
    </row>
    <row r="8" spans="1:2" x14ac:dyDescent="0.25">
      <c r="A8" t="s">
        <v>6</v>
      </c>
      <c r="B8" s="6">
        <v>0.1891337386018237</v>
      </c>
    </row>
    <row r="9" spans="1:2" x14ac:dyDescent="0.25">
      <c r="A9" t="s">
        <v>7</v>
      </c>
      <c r="B9" s="6">
        <v>0.004369725885370354</v>
      </c>
    </row>
    <row r="10" spans="1:2" x14ac:dyDescent="0.25">
      <c r="A10" t="s">
        <v>8</v>
      </c>
      <c r="B10" s="6">
        <v>0.07382533285985116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0.08475278920026019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0.7246299999999999</v>
      </c>
      <c r="C19" s="8" t="s">
        <v>19</v>
      </c>
    </row>
    <row r="20" spans="1:2" x14ac:dyDescent="0.25">
      <c r="A20" t="s">
        <v>20</v>
      </c>
      <c r="B20" s="10">
        <f>B17+B19*B18</f>
        <v>0.08910095</v>
      </c>
    </row>
    <row r="21" spans="1:3" x14ac:dyDescent="0.25">
      <c r="A21" t="s">
        <v>21</v>
      </c>
      <c r="B21" s="6">
        <v>0.062</v>
      </c>
      <c r="C21" s="8" t="s">
        <v>22</v>
      </c>
    </row>
    <row r="22" spans="1:2" x14ac:dyDescent="0.25">
      <c r="A22" t="s">
        <v>23</v>
      </c>
      <c r="B22" s="11">
        <v>19787714560</v>
      </c>
    </row>
    <row r="23" spans="1:2" x14ac:dyDescent="0.25">
      <c r="A23" t="s">
        <v>24</v>
      </c>
      <c r="B23" s="11">
        <v>5008000000</v>
      </c>
    </row>
    <row r="24" spans="1:2" x14ac:dyDescent="0.25">
      <c r="A24" t="s">
        <v>25</v>
      </c>
      <c r="B24" s="10">
        <f>B22/(B22+B23)</f>
        <v>0.798029615646616</v>
      </c>
    </row>
    <row r="25" spans="1:2" x14ac:dyDescent="0.25">
      <c r="A25" t="s">
        <v>26</v>
      </c>
      <c r="B25" s="10">
        <f>1-B24</f>
        <v>0.201970384353384</v>
      </c>
    </row>
    <row r="26" spans="1:2" x14ac:dyDescent="0.25">
      <c r="A26" t="s">
        <v>27</v>
      </c>
      <c r="B26" s="12">
        <f>B24*B20+B25*B21*(1-B8)</f>
        <v>0.08125899705162279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13713000000</v>
      </c>
      <c r="C29" s="8" t="s">
        <v>30</v>
      </c>
    </row>
    <row r="30" spans="1:2" x14ac:dyDescent="0.25">
      <c r="A30" t="s">
        <v>31</v>
      </c>
      <c r="B30" s="11">
        <v>-44180000000</v>
      </c>
    </row>
    <row r="31" spans="1:2" x14ac:dyDescent="0.25">
      <c r="A31" t="s">
        <v>32</v>
      </c>
      <c r="B31" s="13">
        <v>715164078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0.11099172791408707</v>
      </c>
      <c r="C5" s="10">
        <f>Assumptions!B6</f>
        <v>0.11099172791408707</v>
      </c>
      <c r="D5" s="10">
        <f>Assumptions!B6</f>
        <v>0.11099172791408707</v>
      </c>
      <c r="E5" s="10">
        <f>Assumptions!B6</f>
        <v>0.11099172791408707</v>
      </c>
      <c r="F5" s="10">
        <f>Assumptions!B6</f>
        <v>0.11099172791408707</v>
      </c>
    </row>
    <row r="6" spans="1:6" x14ac:dyDescent="0.25">
      <c r="A6" t="s">
        <v>43</v>
      </c>
      <c r="B6" s="18">
        <f>Assumptions!B29*(1+B5)</f>
        <v>15235029564.885876</v>
      </c>
      <c r="C6" s="18">
        <f>B6*(1+C5)</f>
        <v>16925991821.114761</v>
      </c>
      <c r="D6" s="18">
        <f>C6*(1+D5)</f>
        <v>18804636899.999992</v>
      </c>
      <c r="E6" s="18">
        <f>D6*(1+E5)</f>
        <v>20891796042.32799</v>
      </c>
      <c r="F6" s="18">
        <f>E6*(1+F5)</f>
        <v>23210612584.294662</v>
      </c>
    </row>
    <row r="7" spans="1:6" x14ac:dyDescent="0.25">
      <c r="A7" t="s">
        <v>5</v>
      </c>
      <c r="B7" s="10">
        <f>Assumptions!B7</f>
        <v>0.11588380352770897</v>
      </c>
      <c r="C7" s="10">
        <f>Assumptions!B7</f>
        <v>0.11588380352770897</v>
      </c>
      <c r="D7" s="10">
        <f>Assumptions!B7</f>
        <v>0.11588380352770897</v>
      </c>
      <c r="E7" s="10">
        <f>Assumptions!B7</f>
        <v>0.11588380352770897</v>
      </c>
      <c r="F7" s="10">
        <f>Assumptions!B7</f>
        <v>0.11588380352770897</v>
      </c>
    </row>
    <row r="8" spans="1:6" x14ac:dyDescent="0.25">
      <c r="A8" t="s">
        <v>44</v>
      </c>
      <c r="B8" s="18">
        <f>B6*B7</f>
        <v>1765493172.8360722</v>
      </c>
      <c r="C8" s="18">
        <f>C6*C7</f>
        <v>1961448310.709672</v>
      </c>
      <c r="D8" s="18">
        <f>D6*D7</f>
        <v>2179152847.9295053</v>
      </c>
      <c r="E8" s="18">
        <f>E6*E7</f>
        <v>2421020787.9101048</v>
      </c>
      <c r="F8" s="18">
        <f>F6*F7</f>
        <v>2689734068.476172</v>
      </c>
    </row>
    <row r="9" spans="1:6" x14ac:dyDescent="0.25">
      <c r="A9" t="s">
        <v>45</v>
      </c>
      <c r="B9" s="18">
        <f>B8*(1-Assumptions!B8)</f>
        <v>1431578848.5815902</v>
      </c>
      <c r="C9" s="18">
        <f>C8*(1-Assumptions!B8)</f>
        <v>1590472258.6309202</v>
      </c>
      <c r="D9" s="18">
        <f>D8*(1-Assumptions!B8)</f>
        <v>1767001522.8157866</v>
      </c>
      <c r="E9" s="18">
        <f>E8*(1-Assumptions!B8)</f>
        <v>1963124075.0599337</v>
      </c>
      <c r="F9" s="18">
        <f>F8*(1-Assumptions!B8)</f>
        <v>2181014608.26058</v>
      </c>
    </row>
    <row r="10" spans="1:6" x14ac:dyDescent="0.25">
      <c r="A10" t="s">
        <v>46</v>
      </c>
      <c r="B10" s="18">
        <f>B6*Assumptions!B9</f>
        <v>66572903.05406445</v>
      </c>
      <c r="C10" s="18">
        <f>C6*Assumptions!B9</f>
        <v>73961944.59629206</v>
      </c>
      <c r="D10" s="18">
        <f>D6*Assumptions!B9</f>
        <v>82171108.62692049</v>
      </c>
      <c r="E10" s="18">
        <f>E6*Assumptions!B9</f>
        <v>91291421.95803854</v>
      </c>
      <c r="F10" s="18">
        <f>F6*Assumptions!B9</f>
        <v>101424014.62489527</v>
      </c>
    </row>
    <row r="11" spans="1:6" x14ac:dyDescent="0.25">
      <c r="A11" t="s">
        <v>47</v>
      </c>
      <c r="B11" s="18">
        <f>-B6*Assumptions!B10</f>
        <v>-1124731128.757373</v>
      </c>
      <c r="C11" s="18">
        <f>-C6*Assumptions!B10</f>
        <v>-1249566980.1769154</v>
      </c>
      <c r="D11" s="18">
        <f>-D6*Assumptions!B10</f>
        <v>-1388258578.451139</v>
      </c>
      <c r="E11" s="18">
        <f>-E6*Assumptions!B10</f>
        <v>-1542343796.864985</v>
      </c>
      <c r="F11" s="18">
        <f>-F6*Assumptions!B10</f>
        <v>-1713531199.9166036</v>
      </c>
    </row>
    <row r="12" spans="1:6" x14ac:dyDescent="0.25">
      <c r="A12" t="s">
        <v>48</v>
      </c>
      <c r="B12" s="18">
        <f>-(B6-Assumptions!B29)*Assumptions!B11</f>
        <v>1522029564.8858757</v>
      </c>
      <c r="C12" s="18">
        <f>-(C6-B6)*Assumptions!B11</f>
        <v>1690962256.2288857</v>
      </c>
      <c r="D12" s="18">
        <f>-(D6-C6)*Assumptions!B11</f>
        <v>1878645078.885231</v>
      </c>
      <c r="E12" s="18">
        <f>-(E6-D6)*Assumptions!B11</f>
        <v>2087159142.327999</v>
      </c>
      <c r="F12" s="18">
        <f>-(F6-E6)*Assumptions!B11</f>
        <v>2318816541.966671</v>
      </c>
    </row>
    <row r="13" spans="1:6" x14ac:dyDescent="0.25">
      <c r="A13" s="19" t="s">
        <v>49</v>
      </c>
      <c r="B13" s="20">
        <f>B9+B10+B11+B12</f>
        <v>1895450187.7641573</v>
      </c>
      <c r="C13" s="20">
        <f>C9+C10+C11+C12</f>
        <v>2105829479.2791824</v>
      </c>
      <c r="D13" s="20">
        <f>D9+D10+D11+D12</f>
        <v>2339559131.876799</v>
      </c>
      <c r="E13" s="20">
        <f>E9+E10+E11+E12</f>
        <v>2599230842.4809866</v>
      </c>
      <c r="F13" s="20">
        <f>F9+F10+F11+F12</f>
        <v>2887723964.9355426</v>
      </c>
    </row>
    <row r="14" spans="1:6" x14ac:dyDescent="0.25">
      <c r="A14" t="s">
        <v>50</v>
      </c>
      <c r="B14" s="21">
        <f>1/(1+Assumptions!$B$26)^(1-0.5*Assumptions!$B$32)</f>
        <v>0.9616900725786418</v>
      </c>
      <c r="C14" s="21">
        <f>1/(1+Assumptions!$B$26)^(2-0.5*Assumptions!$B$32)</f>
        <v>0.8894169437673844</v>
      </c>
      <c r="D14" s="21">
        <f>1/(1+Assumptions!$B$26)^(3-0.5*Assumptions!$B$32)</f>
        <v>0.8225752998982175</v>
      </c>
      <c r="E14" s="21">
        <f>1/(1+Assumptions!$B$26)^(4-0.5*Assumptions!$B$32)</f>
        <v>0.7607569529051004</v>
      </c>
      <c r="F14" s="21">
        <f>1/(1+Assumptions!$B$26)^(5-0.5*Assumptions!$B$32)</f>
        <v>0.7035843909549261</v>
      </c>
    </row>
    <row r="15" spans="1:6" x14ac:dyDescent="0.25">
      <c r="A15" s="19" t="s">
        <v>51</v>
      </c>
      <c r="B15" s="20">
        <f>B13*B14</f>
        <v>1822835628.6401126</v>
      </c>
      <c r="C15" s="20">
        <f>C13*C14</f>
        <v>1872960419.555753</v>
      </c>
      <c r="D15" s="20">
        <f>D13*D14</f>
        <v>1924463554.5331714</v>
      </c>
      <c r="E15" s="20">
        <f>E13*E14</f>
        <v>1977382935.6227922</v>
      </c>
      <c r="F15" s="20">
        <f>F13*F14</f>
        <v>2031757507.115118</v>
      </c>
    </row>
    <row r="17" spans="1:2" x14ac:dyDescent="0.25">
      <c r="A17" s="22" t="s">
        <v>52</v>
      </c>
      <c r="B17" s="23">
        <f>SUM(B15:F15)</f>
        <v>9629400045.466948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2887723964.9355426</v>
      </c>
    </row>
    <row r="5" spans="1:2" x14ac:dyDescent="0.25">
      <c r="A5" t="s">
        <v>56</v>
      </c>
      <c r="B5" s="18">
        <f>IF(Assumptions!$B$33=0,B4,B4-Forecast!F11-Forecast!F10-Forecast!F12)</f>
        <v>2181014608.26058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0.29497554282170163</v>
      </c>
    </row>
    <row r="7" spans="1:2" x14ac:dyDescent="0.25">
      <c r="A7" t="s">
        <v>58</v>
      </c>
      <c r="B7" s="18">
        <f>-MAX(Forecast!F9,0)*B6</f>
        <v>-643345967.9737256</v>
      </c>
    </row>
    <row r="8" spans="1:2" x14ac:dyDescent="0.25">
      <c r="A8" t="s">
        <v>59</v>
      </c>
      <c r="B8" s="18">
        <f>IF(OR(Assumptions!$B$33=0,Assumptions!B12&lt;=0),B5,MAX(B5+B7,0))</f>
        <v>1537668640.2868545</v>
      </c>
    </row>
    <row r="9" spans="1:2" x14ac:dyDescent="0.25">
      <c r="A9" t="s">
        <v>60</v>
      </c>
      <c r="B9" s="18">
        <f>B8*(1+Assumptions!B12)/(Assumptions!B26-Assumptions!B12)</f>
        <v>28015258694.494675</v>
      </c>
    </row>
    <row r="10" spans="1:2" x14ac:dyDescent="0.25">
      <c r="A10" t="s">
        <v>61</v>
      </c>
      <c r="B10" s="18">
        <f>B9/(1+Assumptions!B26)^(5-0.5*Assumptions!B32)</f>
        <v>19711098726.010735</v>
      </c>
    </row>
    <row r="11" spans="1:2" x14ac:dyDescent="0.25">
      <c r="A11" t="s">
        <v>62</v>
      </c>
      <c r="B11" s="18">
        <f>Forecast!B17+B10</f>
        <v>29340498771.477684</v>
      </c>
    </row>
    <row r="12" spans="1:2" x14ac:dyDescent="0.25">
      <c r="A12" t="s">
        <v>63</v>
      </c>
      <c r="B12" s="18">
        <f>-Assumptions!B30</f>
        <v>44180000000.00001</v>
      </c>
    </row>
    <row r="13" spans="1:2" x14ac:dyDescent="0.25">
      <c r="A13" t="s">
        <v>64</v>
      </c>
      <c r="B13" s="18">
        <f>B11+B12</f>
        <v>73520498771.47769</v>
      </c>
    </row>
    <row r="14" spans="1:2" x14ac:dyDescent="0.25">
      <c r="A14" s="19" t="s">
        <v>65</v>
      </c>
      <c r="B14" s="24">
        <f>B13/Assumptions!B31</f>
        <v>102.80228136888846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2791158083.101067</v>
      </c>
    </row>
    <row r="18" spans="1:2" x14ac:dyDescent="0.25">
      <c r="A18" t="s">
        <v>60</v>
      </c>
      <c r="B18" s="18">
        <f>B17*Assumptions!B13</f>
        <v>22329264664.808537</v>
      </c>
    </row>
    <row r="19" spans="1:2" x14ac:dyDescent="0.25">
      <c r="A19" t="s">
        <v>61</v>
      </c>
      <c r="B19" s="18">
        <f>B18/(1+Assumptions!B26)^(5-0.5*Assumptions!B32)</f>
        <v>15710522079.660666</v>
      </c>
    </row>
    <row r="20" spans="1:2" x14ac:dyDescent="0.25">
      <c r="A20" t="s">
        <v>62</v>
      </c>
      <c r="B20" s="18">
        <f>Forecast!B17+B19</f>
        <v>25339922125.127613</v>
      </c>
    </row>
    <row r="21" spans="1:2" x14ac:dyDescent="0.25">
      <c r="A21" t="s">
        <v>63</v>
      </c>
      <c r="B21" s="18">
        <f>-Assumptions!B30</f>
        <v>44180000000</v>
      </c>
    </row>
    <row r="22" spans="1:2" x14ac:dyDescent="0.25">
      <c r="A22" t="s">
        <v>64</v>
      </c>
      <c r="B22" s="18">
        <f>B20+B21</f>
        <v>69519922125.12761</v>
      </c>
    </row>
    <row r="23" spans="1:2" x14ac:dyDescent="0.25">
      <c r="A23" s="19" t="s">
        <v>65</v>
      </c>
      <c r="B23" s="25">
        <f>B22/Assumptions!B31</f>
        <v>97.20835296921557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27.59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102.80228136888846</v>
      </c>
    </row>
    <row r="29" spans="1:2" x14ac:dyDescent="0.25">
      <c r="A29" s="19" t="s">
        <v>73</v>
      </c>
      <c r="B29" s="12">
        <f>B28/B26-1</f>
        <v>2.7260703649470264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0.061259</v>
      </c>
      <c r="B5" s="31">
        <v>118.04704113978852</v>
      </c>
      <c r="C5" s="31">
        <v>119.98331166733695</v>
      </c>
      <c r="D5" s="31">
        <v>122.41562178772158</v>
      </c>
      <c r="E5" s="31">
        <v>125.58200195273369</v>
      </c>
      <c r="F5" s="31">
        <v>129.90177699079067</v>
      </c>
    </row>
    <row r="6" spans="1:6" x14ac:dyDescent="0.25">
      <c r="A6" s="30">
        <v>0.071259</v>
      </c>
      <c r="B6" s="31">
        <v>108.78593979547642</v>
      </c>
      <c r="C6" s="31">
        <v>109.57955267183885</v>
      </c>
      <c r="D6" s="31">
        <v>110.51619113484888</v>
      </c>
      <c r="E6" s="31">
        <v>111.64785314373265</v>
      </c>
      <c r="F6" s="31">
        <v>113.05521806604331</v>
      </c>
    </row>
    <row r="7" spans="1:6" x14ac:dyDescent="0.25">
      <c r="A7" s="30">
        <v>0.081259</v>
      </c>
      <c r="B7" s="31">
        <v>102.29253858185157</v>
      </c>
      <c r="C7" s="31">
        <v>102.53693836102696</v>
      </c>
      <c r="D7" s="32">
        <v>102.80227949248209</v>
      </c>
      <c r="E7" s="31">
        <v>103.09469007633979</v>
      </c>
      <c r="F7" s="31">
        <v>103.42294768639198</v>
      </c>
    </row>
    <row r="8" spans="1:6" x14ac:dyDescent="0.25">
      <c r="A8" s="30">
        <v>0.091259</v>
      </c>
      <c r="B8" s="31">
        <v>97.82527241998092</v>
      </c>
      <c r="C8" s="31">
        <v>97.93806276050154</v>
      </c>
      <c r="D8" s="31">
        <v>98.05085310102213</v>
      </c>
      <c r="E8" s="31">
        <v>98.16364344154273</v>
      </c>
      <c r="F8" s="31">
        <v>98.27643378206334</v>
      </c>
    </row>
    <row r="9" spans="1:6" x14ac:dyDescent="0.25">
      <c r="A9" s="30">
        <v>0.101259</v>
      </c>
      <c r="B9" s="31">
        <v>94.43450211972818</v>
      </c>
      <c r="C9" s="31">
        <v>94.53206545406908</v>
      </c>
      <c r="D9" s="31">
        <v>94.62962878840997</v>
      </c>
      <c r="E9" s="31">
        <v>94.72719212275086</v>
      </c>
      <c r="F9" s="31">
        <v>94.82475545709177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13713000000</v>
      </c>
      <c r="C5" s="18">
        <v>13177000000</v>
      </c>
      <c r="D5" s="18">
        <v>12412000000</v>
      </c>
      <c r="E5" s="18">
        <v>10000000000</v>
      </c>
      <c r="F5" s="8" t="s">
        <v>84</v>
      </c>
    </row>
    <row r="6" spans="1:6" x14ac:dyDescent="0.25">
      <c r="A6" t="s">
        <v>44</v>
      </c>
      <c r="B6" s="18">
        <v>2058000000</v>
      </c>
      <c r="C6" s="18">
        <v>1316000000</v>
      </c>
      <c r="D6" s="18">
        <v>1565000000</v>
      </c>
      <c r="E6" s="18">
        <v>875000000</v>
      </c>
      <c r="F6" s="8" t="s">
        <v>85</v>
      </c>
    </row>
    <row r="7" spans="1:6" x14ac:dyDescent="0.25">
      <c r="A7" t="s">
        <v>86</v>
      </c>
      <c r="B7" s="18">
        <v>55000000</v>
      </c>
      <c r="C7" s="18">
        <v>54000000</v>
      </c>
      <c r="D7" s="18">
        <v>53000000</v>
      </c>
      <c r="E7" s="18">
        <v>51000000</v>
      </c>
      <c r="F7" s="8" t="s">
        <v>87</v>
      </c>
    </row>
    <row r="8" spans="1:6" x14ac:dyDescent="0.25">
      <c r="A8" t="s">
        <v>88</v>
      </c>
      <c r="B8" s="18">
        <v>539000000</v>
      </c>
      <c r="C8" s="18">
        <v>924000000</v>
      </c>
      <c r="D8" s="18">
        <v>1293000000</v>
      </c>
      <c r="E8" s="18">
        <v>817000000</v>
      </c>
      <c r="F8" s="8" t="s">
        <v>89</v>
      </c>
    </row>
    <row r="9" spans="1:6" x14ac:dyDescent="0.25">
      <c r="A9" t="s">
        <v>90</v>
      </c>
      <c r="B9" s="18">
        <v>-4680000000</v>
      </c>
      <c r="C9" s="18">
        <v>-897000000</v>
      </c>
      <c r="D9" s="18">
        <v>-2526000000</v>
      </c>
      <c r="E9" s="18">
        <v>-2366000000</v>
      </c>
      <c r="F9" s="8" t="s">
        <v>91</v>
      </c>
    </row>
    <row r="10" spans="1:6" x14ac:dyDescent="0.25">
      <c r="A10" t="s">
        <v>92</v>
      </c>
      <c r="B10" s="18">
        <v>5008000000</v>
      </c>
      <c r="C10" s="18">
        <v>5549000000</v>
      </c>
      <c r="D10" s="18">
        <v>5016000000</v>
      </c>
      <c r="E10" s="18">
        <v>4616000000</v>
      </c>
      <c r="F10" s="8" t="s">
        <v>93</v>
      </c>
    </row>
    <row r="11" spans="1:6" x14ac:dyDescent="0.25">
      <c r="A11" t="s">
        <v>94</v>
      </c>
      <c r="B11" s="18">
        <v>49188000000</v>
      </c>
      <c r="C11" s="18">
        <v>44357000000</v>
      </c>
      <c r="D11" s="18">
        <v>42515000000</v>
      </c>
      <c r="E11" s="18">
        <v>39500000000</v>
      </c>
      <c r="F11" s="8" t="s">
        <v>95</v>
      </c>
    </row>
    <row r="12" spans="1:6" x14ac:dyDescent="0.25">
      <c r="A12" t="s">
        <v>32</v>
      </c>
      <c r="B12" s="34">
        <v>715164078</v>
      </c>
      <c r="C12" s="34">
        <v>716171308</v>
      </c>
      <c r="D12" s="34">
        <v>716544830</v>
      </c>
      <c r="E12" s="34">
        <v>715000000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22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2026-09-19T02:00:07Z</dcterms:modified>
</cp:coreProperties>
</file>