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<sst xmlns="http://schemas.openxmlformats.org/spreadsheetml/2006/main" count="112" uniqueCount="100">
  <si>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Union Pacific Corporation (UNP)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</si>
  <si>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</si>
  <si>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</si>
  <si>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</si>
  <si>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</si>
  <si>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</si>
  <si>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</si>
  <si>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</si>
  <si>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</si>
  <si>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</si>
  <si>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</si>
  <si>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</si>
  <si>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</si>
  <si>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</si>
  <si>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</si>
  <si>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</si>
  <si>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</si>
  <si>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</si>
  <si>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</si>
  <si>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</si>
  <si>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</si>
  <si>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</si>
  <si>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</si>
  <si>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</si>
  <si>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</si>
  <si>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</si>
  <si>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</si>
  <si>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</si>
  <si>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</si>
  <si>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</si>
  <si>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</si>
  <si>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</si>
  <si>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</si>
  <si>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</si>
  <si>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</si>
  <si>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</si>
  <si>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</si>
  <si>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</si>
  <si>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</si>
  <si>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</si>
  <si>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</si>
  <si>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</si>
  <si>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</si>
  <si>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</si>
  <si>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</si>
  <si>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</si>
  <si>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</si>
  <si>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</si>
  <si>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</si>
  <si>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</si>
  <si>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</si>
  <si>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</si>
  <si>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</si>
  <si>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</si>
  <si>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</si>
  <si>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</si>
  <si>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</si>
  <si>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</si>
  <si>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</si>
  <si>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</si>
  <si>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</si>
  <si>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</si>
  <si>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</si>
  <si>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</si>
  <si>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</si>
  <si>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</si>
  <si>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</si>
  <si>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</si>
  <si>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</si>
  <si>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</si>
  <si>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</si>
  <si>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</si>
  <si>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</si>
  <si>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</si>
  <si>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</si>
  <si>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</si>
  <si>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</si>
  <si>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</si>
  <si>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</si>
  <si>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</si>
  <si>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</si>
  <si>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</si>
  <si>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</si>
  <si>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</si>
  <si>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</si>
  <si>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</si>
  <si>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</si>
  <si>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</si>
  <si>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</si>
  <si>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</si>
  <si>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</si>
  <si>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</si>
  <si>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</si>
  <si>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</si>
  <si>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</si>
  <si>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</si>
  <si>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</si>
  <si>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</si>
  <si>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14.8% of revenue against depreciation of 9.6%.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</si>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</sst>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-0.004915242301498868</v>
      </c>
    </row>
    <row r="7" spans="1:2" x14ac:dyDescent="0.25">
      <c r="A7" t="s">
        <v>5</v>
      </c>
      <c r="B7" s="6">
        <v>0.3943681609481046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0.09646401360491998</v>
      </c>
    </row>
    <row r="10" spans="1:2" x14ac:dyDescent="0.25">
      <c r="A10" t="s">
        <v>8</v>
      </c>
      <c r="B10" s="6">
        <v>0.14801460059511706</v>
      </c>
    </row>
    <row r="11" spans="1:2" x14ac:dyDescent="0.25">
      <c r="A11" t="s">
        <v>9</v>
      </c>
      <c r="B11" s="6">
        <v>-0.4007936507936508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16.024114416050686</v>
      </c>
    </row>
    <row r="14" spans="1:3" x14ac:dyDescent="0.25">
      <c r="A14" t="s">
        <v>12</v>
      </c>
      <c r="B14" s="6">
        <v>0.15714228210205206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0.97722</v>
      </c>
      <c r="C19" s="8" t="s">
        <v>19</v>
      </c>
    </row>
    <row r="20" spans="1:2" x14ac:dyDescent="0.25">
      <c r="A20" t="s">
        <v>20</v>
      </c>
      <c r="B20" s="10">
        <f>B17+B19*B18</f>
        <v>0.1037271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165966872576</v>
      </c>
    </row>
    <row r="23" spans="1:2" x14ac:dyDescent="0.25">
      <c r="A23" t="s">
        <v>24</v>
      </c>
      <c r="B23" s="11">
        <v>32822000000</v>
      </c>
    </row>
    <row r="24" spans="1:2" x14ac:dyDescent="0.25">
      <c r="A24" t="s">
        <v>25</v>
      </c>
      <c r="B24" s="10">
        <f>B22/(B22+B23)</f>
        <v>0.8348901546918747</v>
      </c>
    </row>
    <row r="25" spans="1:2" x14ac:dyDescent="0.25">
      <c r="A25" t="s">
        <v>26</v>
      </c>
      <c r="B25" s="10">
        <f>1-B24</f>
        <v>0.16510984530812534</v>
      </c>
    </row>
    <row r="26" spans="1:2" x14ac:dyDescent="0.25">
      <c r="A26" t="s">
        <v>27</v>
      </c>
      <c r="B26" s="12">
        <f>B24*B20+B25*B21*(1-B8)</f>
        <v>0.09311996471885464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24510000000</v>
      </c>
      <c r="C29" s="8" t="s">
        <v>30</v>
      </c>
    </row>
    <row r="30" spans="1:2" x14ac:dyDescent="0.25">
      <c r="A30" t="s">
        <v>31</v>
      </c>
      <c r="B30" s="11">
        <v>31306000000</v>
      </c>
    </row>
    <row r="31" spans="1:2" x14ac:dyDescent="0.25">
      <c r="A31" t="s">
        <v>32</v>
      </c>
      <c r="B31" s="13">
        <v>595900000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-0.004915242301498868</v>
      </c>
      <c r="C5" s="10">
        <f>Assumptions!B6</f>
        <v>-0.004915242301498868</v>
      </c>
      <c r="D5" s="10">
        <f>Assumptions!B6</f>
        <v>-0.004915242301498868</v>
      </c>
      <c r="E5" s="10">
        <f>Assumptions!B6</f>
        <v>-0.004915242301498868</v>
      </c>
      <c r="F5" s="10">
        <f>Assumptions!B6</f>
        <v>-0.004915242301498868</v>
      </c>
    </row>
    <row r="6" spans="1:6" x14ac:dyDescent="0.25">
      <c r="A6" t="s">
        <v>43</v>
      </c>
      <c r="B6" s="18">
        <f>Assumptions!B29*(1+B5)</f>
        <v>24389527411.19026</v>
      </c>
      <c r="C6" s="18">
        <f>B6*(1+C5)</f>
        <v>24269646974.345215</v>
      </c>
      <c r="D6" s="18">
        <f>C6*(1+D5)</f>
        <v>24150355778.89447</v>
      </c>
      <c r="E6" s="18">
        <f>D6*(1+E5)</f>
        <v>24031650928.5738</v>
      </c>
      <c r="F6" s="18">
        <f>E6*(1+F5)</f>
        <v>23913529541.35482</v>
      </c>
    </row>
    <row r="7" spans="1:6" x14ac:dyDescent="0.25">
      <c r="A7" t="s">
        <v>5</v>
      </c>
      <c r="B7" s="10">
        <f>Assumptions!B7</f>
        <v>0.3943681609481046</v>
      </c>
      <c r="C7" s="10">
        <f>Assumptions!B7</f>
        <v>0.3943681609481046</v>
      </c>
      <c r="D7" s="10">
        <f>Assumptions!B7</f>
        <v>0.3943681609481046</v>
      </c>
      <c r="E7" s="10">
        <f>Assumptions!B7</f>
        <v>0.3943681609481046</v>
      </c>
      <c r="F7" s="10">
        <f>Assumptions!B7</f>
        <v>0.3943681609481046</v>
      </c>
    </row>
    <row r="8" spans="1:6" x14ac:dyDescent="0.25">
      <c r="A8" t="s">
        <v>44</v>
      </c>
      <c r="B8" s="18">
        <f>B6*B7</f>
        <v>9618453071.54449</v>
      </c>
      <c r="C8" s="18">
        <f>C6*C7</f>
        <v>9571176044.132254</v>
      </c>
      <c r="D8" s="18">
        <f>D6*D7</f>
        <v>9524131394.765043</v>
      </c>
      <c r="E8" s="18">
        <f>E6*E7</f>
        <v>9477317981.248459</v>
      </c>
      <c r="F8" s="18">
        <f>F6*F7</f>
        <v>9430734667.002272</v>
      </c>
    </row>
    <row r="9" spans="1:6" x14ac:dyDescent="0.25">
      <c r="A9" t="s">
        <v>45</v>
      </c>
      <c r="B9" s="18">
        <f>B8*(1-Assumptions!B8)</f>
        <v>7598577926.520148</v>
      </c>
      <c r="C9" s="18">
        <f>C8*(1-Assumptions!B8)</f>
        <v>7561229074.864481</v>
      </c>
      <c r="D9" s="18">
        <f>D8*(1-Assumptions!B8)</f>
        <v>7524063801.864385</v>
      </c>
      <c r="E9" s="18">
        <f>E8*(1-Assumptions!B8)</f>
        <v>7487081205.186283</v>
      </c>
      <c r="F9" s="18">
        <f>F8*(1-Assumptions!B8)</f>
        <v>7450280386.931795</v>
      </c>
    </row>
    <row r="10" spans="1:6" x14ac:dyDescent="0.25">
      <c r="A10" t="s">
        <v>46</v>
      </c>
      <c r="B10" s="18">
        <f>B6*Assumptions!B9</f>
        <v>2352711704.0106263</v>
      </c>
      <c r="C10" s="18">
        <f>C6*Assumptions!B9</f>
        <v>2341147555.919842</v>
      </c>
      <c r="D10" s="18">
        <f>D6*Assumptions!B9</f>
        <v>2329640248.418934</v>
      </c>
      <c r="E10" s="18">
        <f>E6*Assumptions!B9</f>
        <v>2318189502.1226306</v>
      </c>
      <c r="F10" s="18">
        <f>F6*Assumptions!B9</f>
        <v>2306795039.018907</v>
      </c>
    </row>
    <row r="11" spans="1:6" x14ac:dyDescent="0.25">
      <c r="A11" t="s">
        <v>47</v>
      </c>
      <c r="B11" s="18">
        <f>-B6*Assumptions!B10</f>
        <v>-3610006158.470986</v>
      </c>
      <c r="C11" s="18">
        <f>-C6*Assumptions!B10</f>
        <v>-3592262103.4921985</v>
      </c>
      <c r="D11" s="18">
        <f>-D6*Assumptions!B10</f>
        <v>-3574605264.8430424</v>
      </c>
      <c r="E11" s="18">
        <f>-E6*Assumptions!B10</f>
        <v>-3557035213.834125</v>
      </c>
      <c r="F11" s="18">
        <f>-F6*Assumptions!B10</f>
        <v>-3539551523.883167</v>
      </c>
    </row>
    <row r="12" spans="1:6" x14ac:dyDescent="0.25">
      <c r="A12" t="s">
        <v>48</v>
      </c>
      <c r="B12" s="18">
        <f>-(B6-Assumptions!B29)*Assumptions!B11</f>
        <v>-48284648.68961728</v>
      </c>
      <c r="C12" s="18">
        <f>-(C6-B6)*Assumptions!B11</f>
        <v>-48047317.94186407</v>
      </c>
      <c r="D12" s="18">
        <f>-(D6-C6)*Assumptions!B11</f>
        <v>-47811153.73224289</v>
      </c>
      <c r="E12" s="18">
        <f>-(E6-D6)*Assumptions!B11</f>
        <v>-47576150.326935634</v>
      </c>
      <c r="F12" s="18">
        <f>-(F6-E6)*Assumptions!B11</f>
        <v>-47342302.02030503</v>
      </c>
    </row>
    <row r="13" spans="1:6" x14ac:dyDescent="0.25">
      <c r="A13" s="19" t="s">
        <v>49</v>
      </c>
      <c r="B13" s="20">
        <f>B9+B10+B11+B12</f>
        <v>6292998823.3701725</v>
      </c>
      <c r="C13" s="20">
        <f>C9+C10+C11+C12</f>
        <v>6262067209.35026</v>
      </c>
      <c r="D13" s="20">
        <f>D9+D10+D11+D12</f>
        <v>6231287631.708033</v>
      </c>
      <c r="E13" s="20">
        <f>E9+E10+E11+E12</f>
        <v>6200659343.147853</v>
      </c>
      <c r="F13" s="20">
        <f>F9+F10+F11+F12</f>
        <v>6170181600.047231</v>
      </c>
    </row>
    <row r="14" spans="1:6" x14ac:dyDescent="0.25">
      <c r="A14" t="s">
        <v>50</v>
      </c>
      <c r="B14" s="21">
        <f>1/(1+Assumptions!$B$26)^(1-0.5*Assumptions!$B$32)</f>
        <v>0.9564584025958401</v>
      </c>
      <c r="C14" s="21">
        <f>1/(1+Assumptions!$B$26)^(2-0.5*Assumptions!$B$32)</f>
        <v>0.8749802706620922</v>
      </c>
      <c r="D14" s="21">
        <f>1/(1+Assumptions!$B$26)^(3-0.5*Assumptions!$B$32)</f>
        <v>0.8004430427607575</v>
      </c>
      <c r="E14" s="21">
        <f>1/(1+Assumptions!$B$26)^(4-0.5*Assumptions!$B$32)</f>
        <v>0.7322554418504539</v>
      </c>
      <c r="F14" s="21">
        <f>1/(1+Assumptions!$B$26)^(5-0.5*Assumptions!$B$32)</f>
        <v>0.6698765601987579</v>
      </c>
    </row>
    <row r="15" spans="1:6" x14ac:dyDescent="0.25">
      <c r="A15" s="19" t="s">
        <v>51</v>
      </c>
      <c r="B15" s="20">
        <f>B13*B14</f>
        <v>6018991602.138137</v>
      </c>
      <c r="C15" s="20">
        <f>C13*C14</f>
        <v>5479185261.741503</v>
      </c>
      <c r="D15" s="20">
        <f>D13*D14</f>
        <v>4987790832.241852</v>
      </c>
      <c r="E15" s="20">
        <f>E13*E14</f>
        <v>4540466547.080876</v>
      </c>
      <c r="F15" s="20">
        <f>F13*F14</f>
        <v>4133260026.041307</v>
      </c>
    </row>
    <row r="17" spans="1:2" x14ac:dyDescent="0.25">
      <c r="A17" s="22" t="s">
        <v>52</v>
      </c>
      <c r="B17" s="23">
        <f>SUM(B15:F15)</f>
        <v>25159694269.24367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6170181600.047231</v>
      </c>
    </row>
    <row r="5" spans="1:2" x14ac:dyDescent="0.25">
      <c r="A5" t="s">
        <v>56</v>
      </c>
      <c r="B5" s="18">
        <f>IF(Assumptions!$B$33=0,B4,B4-Forecast!F11-Forecast!F10-Forecast!F12)</f>
        <v>7450280386.931795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0.1590914912624496</v>
      </c>
    </row>
    <row r="7" spans="1:2" x14ac:dyDescent="0.25">
      <c r="A7" t="s">
        <v>58</v>
      </c>
      <c r="B7" s="18">
        <f>-MAX(Forecast!F9,0)*B6</f>
        <v>-1185276217.0803592</v>
      </c>
    </row>
    <row r="8" spans="1:2" x14ac:dyDescent="0.25">
      <c r="A8" t="s">
        <v>59</v>
      </c>
      <c r="B8" s="18">
        <f>IF(OR(Assumptions!$B$33=0,Assumptions!B12&lt;=0),B5,MAX(B5+B7,0))</f>
        <v>6265004169.851436</v>
      </c>
    </row>
    <row r="9" spans="1:2" x14ac:dyDescent="0.25">
      <c r="A9" t="s">
        <v>60</v>
      </c>
      <c r="B9" s="18">
        <f>B8*(1+Assumptions!B12)/(Assumptions!B26-Assumptions!B12)</f>
        <v>94269415737.38521</v>
      </c>
    </row>
    <row r="10" spans="1:2" x14ac:dyDescent="0.25">
      <c r="A10" t="s">
        <v>61</v>
      </c>
      <c r="B10" s="18">
        <f>B9/(1+Assumptions!B26)^(5-0.5*Assumptions!B32)</f>
        <v>63148871946.106255</v>
      </c>
    </row>
    <row r="11" spans="1:2" x14ac:dyDescent="0.25">
      <c r="A11" t="s">
        <v>62</v>
      </c>
      <c r="B11" s="18">
        <f>Forecast!B17+B10</f>
        <v>88308566215.34993</v>
      </c>
    </row>
    <row r="12" spans="1:2" x14ac:dyDescent="0.25">
      <c r="A12" t="s">
        <v>63</v>
      </c>
      <c r="B12" s="18">
        <f>-Assumptions!B30</f>
        <v>-31306000000</v>
      </c>
    </row>
    <row r="13" spans="1:2" x14ac:dyDescent="0.25">
      <c r="A13" t="s">
        <v>64</v>
      </c>
      <c r="B13" s="18">
        <f>B11+B12</f>
        <v>57002566215.34993</v>
      </c>
    </row>
    <row r="14" spans="1:2" x14ac:dyDescent="0.25">
      <c r="A14" s="19" t="s">
        <v>65</v>
      </c>
      <c r="B14" s="24">
        <f>B13/Assumptions!B31</f>
        <v>95.65793961293829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11737529706.02118</v>
      </c>
    </row>
    <row r="18" spans="1:2" x14ac:dyDescent="0.25">
      <c r="A18" t="s">
        <v>60</v>
      </c>
      <c r="B18" s="18">
        <f>B17*Assumptions!B13</f>
        <v>188083518971.07715</v>
      </c>
    </row>
    <row r="19" spans="1:2" x14ac:dyDescent="0.25">
      <c r="A19" t="s">
        <v>61</v>
      </c>
      <c r="B19" s="18">
        <f>B18/(1+Assumptions!B26)^(5-0.5*Assumptions!B32)</f>
        <v>125992740718.42297</v>
      </c>
    </row>
    <row r="20" spans="1:2" x14ac:dyDescent="0.25">
      <c r="A20" t="s">
        <v>62</v>
      </c>
      <c r="B20" s="18">
        <f>Forecast!B17+B19</f>
        <v>151152434987.66666</v>
      </c>
    </row>
    <row r="21" spans="1:2" x14ac:dyDescent="0.25">
      <c r="A21" t="s">
        <v>63</v>
      </c>
      <c r="B21" s="18">
        <f>-Assumptions!B30</f>
        <v>-31306000000</v>
      </c>
    </row>
    <row r="22" spans="1:2" x14ac:dyDescent="0.25">
      <c r="A22" t="s">
        <v>64</v>
      </c>
      <c r="B22" s="18">
        <f>B20+B21</f>
        <v>119846434987.66666</v>
      </c>
    </row>
    <row r="23" spans="1:2" x14ac:dyDescent="0.25">
      <c r="A23" s="19" t="s">
        <v>65</v>
      </c>
      <c r="B23" s="25">
        <f>B22/Assumptions!B31</f>
        <v>201.11836715500363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279.37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95.65793961293829</v>
      </c>
    </row>
    <row r="29" spans="1:2" x14ac:dyDescent="0.25">
      <c r="A29" s="19" t="s">
        <v>73</v>
      </c>
      <c r="B29" s="12">
        <f>B28/B26-1</f>
        <v>-0.6575940880805444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0.07312</v>
      </c>
      <c r="B5" s="31">
        <v>135.30757611562072</v>
      </c>
      <c r="C5" s="31">
        <v>144.05418158487026</v>
      </c>
      <c r="D5" s="31">
        <v>154.55827498557326</v>
      </c>
      <c r="E5" s="31">
        <v>167.4312273513987</v>
      </c>
      <c r="F5" s="31">
        <v>183.60517101384806</v>
      </c>
    </row>
    <row r="6" spans="1:6" x14ac:dyDescent="0.25">
      <c r="A6" s="30">
        <v>0.08312</v>
      </c>
      <c r="B6" s="31">
        <v>108.24205718097073</v>
      </c>
      <c r="C6" s="31">
        <v>113.69859124007982</v>
      </c>
      <c r="D6" s="31">
        <v>120.04617802336269</v>
      </c>
      <c r="E6" s="31">
        <v>127.53643256964872</v>
      </c>
      <c r="F6" s="31">
        <v>136.52554807189392</v>
      </c>
    </row>
    <row r="7" spans="1:6" x14ac:dyDescent="0.25">
      <c r="A7" s="30">
        <v>0.09312</v>
      </c>
      <c r="B7" s="31">
        <v>88.11578628375608</v>
      </c>
      <c r="C7" s="31">
        <v>91.64718208061588</v>
      </c>
      <c r="D7" s="32">
        <v>95.65786618398037</v>
      </c>
      <c r="E7" s="31">
        <v>100.26173790623183</v>
      </c>
      <c r="F7" s="31">
        <v>105.6118910925751</v>
      </c>
    </row>
    <row r="8" spans="1:6" x14ac:dyDescent="0.25">
      <c r="A8" s="30">
        <v>0.10312</v>
      </c>
      <c r="B8" s="31">
        <v>72.56562975559468</v>
      </c>
      <c r="C8" s="31">
        <v>74.90249711729159</v>
      </c>
      <c r="D8" s="31">
        <v>77.50576016904593</v>
      </c>
      <c r="E8" s="31">
        <v>80.43006791729724</v>
      </c>
      <c r="F8" s="31">
        <v>83.74611429110394</v>
      </c>
    </row>
    <row r="9" spans="1:6" x14ac:dyDescent="0.25">
      <c r="A9" s="30">
        <v>0.11312</v>
      </c>
      <c r="B9" s="31">
        <v>60.19186433436947</v>
      </c>
      <c r="C9" s="31">
        <v>61.75466800114828</v>
      </c>
      <c r="D9" s="31">
        <v>63.46694949865995</v>
      </c>
      <c r="E9" s="31">
        <v>65.35568389260462</v>
      </c>
      <c r="F9" s="31">
        <v>67.45475230748939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24510000000</v>
      </c>
      <c r="C5" s="18">
        <v>24250000000</v>
      </c>
      <c r="D5" s="18">
        <v>24119000000</v>
      </c>
      <c r="E5" s="18">
        <v>24875000000</v>
      </c>
      <c r="F5" s="8" t="s">
        <v>84</v>
      </c>
    </row>
    <row r="6" spans="1:6" x14ac:dyDescent="0.25">
      <c r="A6" t="s">
        <v>44</v>
      </c>
      <c r="B6" s="18">
        <v>9846000000</v>
      </c>
      <c r="C6" s="18">
        <v>9713000000</v>
      </c>
      <c r="D6" s="18">
        <v>9082000000</v>
      </c>
      <c r="E6" s="18">
        <v>9917000000</v>
      </c>
      <c r="F6" s="8" t="s">
        <v>85</v>
      </c>
    </row>
    <row r="7" spans="1:6" x14ac:dyDescent="0.25">
      <c r="A7" t="s">
        <v>86</v>
      </c>
      <c r="B7" s="18">
        <v>2465000000</v>
      </c>
      <c r="C7" s="18">
        <v>2398000000</v>
      </c>
      <c r="D7" s="18">
        <v>2318000000</v>
      </c>
      <c r="E7" s="18">
        <v>2246000000</v>
      </c>
      <c r="F7" s="8" t="s">
        <v>87</v>
      </c>
    </row>
    <row r="8" spans="1:6" x14ac:dyDescent="0.25">
      <c r="A8" t="s">
        <v>88</v>
      </c>
      <c r="B8" s="18">
        <v>3791000000</v>
      </c>
      <c r="C8" s="18">
        <v>3452000000</v>
      </c>
      <c r="D8" s="18">
        <v>3606000000</v>
      </c>
      <c r="E8" s="18">
        <v>3620000000</v>
      </c>
      <c r="F8" s="8" t="s">
        <v>89</v>
      </c>
    </row>
    <row r="9" spans="1:6" x14ac:dyDescent="0.25">
      <c r="A9" t="s">
        <v>90</v>
      </c>
      <c r="B9" s="18">
        <v>361000000</v>
      </c>
      <c r="C9" s="18">
        <v>-186000000</v>
      </c>
      <c r="D9" s="18">
        <v>303000000</v>
      </c>
      <c r="E9" s="18">
        <v>-8000000</v>
      </c>
      <c r="F9" s="8" t="s">
        <v>91</v>
      </c>
    </row>
    <row r="10" spans="1:6" x14ac:dyDescent="0.25">
      <c r="A10" t="s">
        <v>92</v>
      </c>
      <c r="B10" s="18">
        <v>32822000000</v>
      </c>
      <c r="C10" s="18">
        <v>32463000000</v>
      </c>
      <c r="D10" s="18">
        <v>34179000000</v>
      </c>
      <c r="E10" s="18">
        <v>34957000000</v>
      </c>
      <c r="F10" s="8" t="s">
        <v>93</v>
      </c>
    </row>
    <row r="11" spans="1:6" x14ac:dyDescent="0.25">
      <c r="A11" t="s">
        <v>94</v>
      </c>
      <c r="B11" s="18">
        <v>1516000000</v>
      </c>
      <c r="C11" s="18">
        <v>1036000000</v>
      </c>
      <c r="D11" s="18">
        <v>1071000000</v>
      </c>
      <c r="E11" s="18">
        <v>1019000000</v>
      </c>
      <c r="F11" s="8" t="s">
        <v>95</v>
      </c>
    </row>
    <row r="12" spans="1:6" x14ac:dyDescent="0.25">
      <c r="A12" t="s">
        <v>32</v>
      </c>
      <c r="B12" s="34">
        <v>595900000</v>
      </c>
      <c r="C12" s="34">
        <v>608600000</v>
      </c>
      <c r="D12" s="34">
        <v>610200000</v>
      </c>
      <c r="E12" s="34">
        <v>624000000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2026-09-19T00:06:55Z</dcterms:modified>
</cp:coreProperties>
</file>