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<sst xmlns="http://schemas.openxmlformats.org/spreadsheetml/2006/main" count="120" uniqueCount="107">
  <si>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Union Pacific Corporation (UNP)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</si>
  <si>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</si>
  <si>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</si>
  <si>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</si>
  <si>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</si>
  <si>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</si>
  <si>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</si>
  <si>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</si>
  <si>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</si>
  <si>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</si>
  <si>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</si>
  <si>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</si>
  <si>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</si>
  <si>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</si>
  <si>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</si>
  <si>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</si>
  <si>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</si>
  <si>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</si>
  <si>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</si>
  <si>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</si>
  <si>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</si>
  <si>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</si>
  <si>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</si>
  <si>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</si>
  <si>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7.5x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</si>
  <si>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</si>
  <si>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</si>
  <si>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</si>
  <si>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</si>
  <si>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</si>
  <si>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</si>
  <si>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</si>
  <si>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</si>
  <si>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</si>
  <si>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</si>
  <si>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</si>
  <si>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</si>
  <si>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</si>
  <si>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</si>
  <si>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</si>
  <si>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</si>
  <si>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</si>
  <si>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</si>
  <si>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</si>
  <si>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</si>
  <si>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</si>
  <si>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</si>
  <si>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</si>
  <si>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</si>
  <si>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</si>
  <si>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</si>
  <si>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</si>
  <si>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</si>
  <si>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</si>
  <si>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</si>
  <si>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</si>
  <si>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</si>
  <si>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</si>
  <si>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</si>
  <si>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</si>
  <si>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</si>
  <si>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</si>
  <si>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</si>
  <si>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</si>
  <si>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</si>
  <si>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</si>
  <si>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</si>
  <si>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</si>
  <si>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</si>
  <si>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</si>
  <si>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</si>
  <si>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</si>
  <si>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</si>
  <si>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</si>
  <si>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</si>
  <si>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</si>
  <si>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</si>
  <si>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</si>
  <si>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</si>
  <si>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</si>
  <si>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</si>
  <si>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</si>
  <si>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</si>
  <si>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</si>
  <si>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</si>
  <si>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</si>
  <si>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</si>
  <si>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</si>
  <si>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</si>
  <si>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</si>
  <si>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</si>
  <si>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</si>
  <si>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</si>
  <si>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</si>
  <si>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</si>
  <si>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</si>
  <si>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</si>
  <si>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</si>
  <si>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</si>
  <si>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</si>
  <si>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</si>
  <si>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</si>
  <si>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</si>
  <si>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</si>
  <si>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</si>
  <si>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14.8% of revenue against depreciation of 9.6%.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</si>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</sst>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0.11764494247246016</v>
      </c>
    </row>
    <row r="7" spans="1:2" x14ac:dyDescent="0.25">
      <c r="A7" t="s">
        <v>4</v>
      </c>
      <c r="B7" s="5">
        <v>0.3943681609481046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0.09646401360491998</v>
      </c>
    </row>
    <row r="10" spans="1:3" x14ac:dyDescent="0.25">
      <c r="A10" t="s">
        <v>7</v>
      </c>
      <c r="B10" s="5">
        <v>0.14801460059511706</v>
      </c>
      <c r="C10" s="6" t="s">
        <v>8</v>
      </c>
    </row>
    <row r="11" spans="1:2" x14ac:dyDescent="0.25">
      <c r="A11" t="s">
        <v>9</v>
      </c>
      <c r="B11" s="5">
        <v>0.07504019819387836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17.212652442855983</v>
      </c>
    </row>
    <row r="14" spans="1:3" x14ac:dyDescent="0.25">
      <c r="A14" t="s">
        <v>12</v>
      </c>
      <c r="B14" s="5">
        <v>0.15714228210205206</v>
      </c>
      <c r="C14" s="6" t="s">
        <v>13</v>
      </c>
    </row>
    <row r="15" spans="1:3" x14ac:dyDescent="0.25">
      <c r="A15" t="s">
        <v>14</v>
      </c>
      <c r="B15" s="5">
        <v>0.09646401360491998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0.9691799999999999</v>
      </c>
      <c r="C19" s="6" t="s">
        <v>21</v>
      </c>
    </row>
    <row r="20" spans="1:2" x14ac:dyDescent="0.25">
      <c r="A20" t="s">
        <v>22</v>
      </c>
      <c r="B20" s="9">
        <f>B17+B19*B18</f>
        <v>0.08993631399999999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180598964224</v>
      </c>
    </row>
    <row r="23" spans="1:2" x14ac:dyDescent="0.25">
      <c r="A23" t="s">
        <v>26</v>
      </c>
      <c r="B23" s="10">
        <v>32822000000</v>
      </c>
    </row>
    <row r="24" spans="1:2" x14ac:dyDescent="0.25">
      <c r="A24" t="s">
        <v>27</v>
      </c>
      <c r="B24" s="9">
        <f>B22/(B22+B23)</f>
        <v>0.8462100472681257</v>
      </c>
    </row>
    <row r="25" spans="1:2" x14ac:dyDescent="0.25">
      <c r="A25" t="s">
        <v>28</v>
      </c>
      <c r="B25" s="9">
        <f>1-B24</f>
        <v>0.15378995273187435</v>
      </c>
    </row>
    <row r="26" spans="1:2" x14ac:dyDescent="0.25">
      <c r="A26" t="s">
        <v>29</v>
      </c>
      <c r="B26" s="11">
        <f>B24*B20+B25*B21*(1-B8)</f>
        <v>0.08271914929217235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24510000000</v>
      </c>
      <c r="C29" s="6" t="s">
        <v>32</v>
      </c>
    </row>
    <row r="30" spans="1:2" x14ac:dyDescent="0.25">
      <c r="A30" t="s">
        <v>33</v>
      </c>
      <c r="B30" s="10">
        <v>31306000000</v>
      </c>
    </row>
    <row r="31" spans="1:2" x14ac:dyDescent="0.25">
      <c r="A31" t="s">
        <v>34</v>
      </c>
      <c r="B31" s="12">
        <v>595900000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0.11764494247246016</v>
      </c>
      <c r="C5" s="5">
        <v>0.05728635649521108</v>
      </c>
      <c r="D5" s="5">
        <v>0.053250561933309695</v>
      </c>
      <c r="E5" s="5">
        <v>0.049214767371408306</v>
      </c>
      <c r="F5" s="5">
        <v>0.045178972809506925</v>
      </c>
      <c r="G5" s="5">
        <v>0.041143178247605536</v>
      </c>
      <c r="H5" s="5">
        <v>0.037107383685704154</v>
      </c>
      <c r="I5" s="5">
        <v>0.03307158912380277</v>
      </c>
      <c r="J5" s="5">
        <v>0.029035794561901387</v>
      </c>
      <c r="K5" s="5">
        <v>0.025</v>
      </c>
    </row>
    <row r="6" spans="1:11" x14ac:dyDescent="0.25">
      <c r="A6" t="s">
        <v>50</v>
      </c>
      <c r="B6" s="18">
        <f>Assumptions!B29*(1+B5)</f>
        <v>27393477540</v>
      </c>
      <c r="C6" s="18">
        <f>B6*(1+C5)</f>
        <v>28962750059.999996</v>
      </c>
      <c r="D6" s="18">
        <f>C6*(1+D5)</f>
        <v>30505032775.828995</v>
      </c>
      <c r="E6" s="18">
        <f>D6*(1+E5)</f>
        <v>32006330867.548603</v>
      </c>
      <c r="F6" s="18">
        <f>E6*(1+F5)</f>
        <v>33452344019.545662</v>
      </c>
      <c r="G6" s="18">
        <f>F6*(1+G5)</f>
        <v>34828679772.34205</v>
      </c>
      <c r="H6" s="18">
        <f>G6*(1+H5)</f>
        <v>36121080955.92087</v>
      </c>
      <c r="I6" s="18">
        <f>H6*(1+I5)</f>
        <v>37315662504.0027</v>
      </c>
      <c r="J6" s="18">
        <f>I6*(1+J5)</f>
        <v>38399152414.410164</v>
      </c>
      <c r="K6" s="18">
        <f>J6*(1+K5)</f>
        <v>39359131224.77042</v>
      </c>
    </row>
    <row r="7" spans="1:11" x14ac:dyDescent="0.25">
      <c r="A7" t="s">
        <v>4</v>
      </c>
      <c r="B7" s="9">
        <f>Assumptions!B7</f>
        <v>0.3943681609481046</v>
      </c>
      <c r="C7" s="9">
        <f>Assumptions!B7</f>
        <v>0.3943681609481046</v>
      </c>
      <c r="D7" s="9">
        <f>Assumptions!B7</f>
        <v>0.3943681609481046</v>
      </c>
      <c r="E7" s="9">
        <f>Assumptions!B7</f>
        <v>0.3943681609481046</v>
      </c>
      <c r="F7" s="9">
        <f>Assumptions!B7</f>
        <v>0.3943681609481046</v>
      </c>
      <c r="G7" s="9">
        <f>Assumptions!B7</f>
        <v>0.3943681609481046</v>
      </c>
      <c r="H7" s="9">
        <f>Assumptions!B7</f>
        <v>0.3943681609481046</v>
      </c>
      <c r="I7" s="9">
        <f>Assumptions!B7</f>
        <v>0.3943681609481046</v>
      </c>
      <c r="J7" s="9">
        <f>Assumptions!B7</f>
        <v>0.3943681609481046</v>
      </c>
      <c r="K7" s="9">
        <f>Assumptions!B7</f>
        <v>0.3943681609481046</v>
      </c>
    </row>
    <row r="8" spans="1:11" x14ac:dyDescent="0.25">
      <c r="A8" t="s">
        <v>51</v>
      </c>
      <c r="B8" s="18">
        <f>B6*B7</f>
        <v>10803115359.42301</v>
      </c>
      <c r="C8" s="18">
        <f>C6*C7</f>
        <v>11421986477.161806</v>
      </c>
      <c r="D8" s="18">
        <f>D6*D7</f>
        <v>12030213675.465336</v>
      </c>
      <c r="E8" s="18">
        <f>E6*E7</f>
        <v>12622277842.931696</v>
      </c>
      <c r="F8" s="18">
        <f>F6*F7</f>
        <v>13192539390.391548</v>
      </c>
      <c r="G8" s="18">
        <f>G6*G7</f>
        <v>13735322390.068985</v>
      </c>
      <c r="H8" s="18">
        <f>H6*H7</f>
        <v>14245004268.044117</v>
      </c>
      <c r="I8" s="18">
        <f>I6*I7</f>
        <v>14716109196.263689</v>
      </c>
      <c r="J8" s="18">
        <f>J6*J7</f>
        <v>15143403119.636908</v>
      </c>
      <c r="K8" s="18">
        <f>K6*K7</f>
        <v>15521988197.62783</v>
      </c>
    </row>
    <row r="9" spans="1:11" x14ac:dyDescent="0.25">
      <c r="A9" t="s">
        <v>52</v>
      </c>
      <c r="B9" s="18">
        <f>B8*(1-Assumptions!B8)</f>
        <v>8534461133.944179</v>
      </c>
      <c r="C9" s="18">
        <f>C8*(1-Assumptions!B8)</f>
        <v>9023369316.957827</v>
      </c>
      <c r="D9" s="18">
        <f>D8*(1-Assumptions!B8)</f>
        <v>9503868803.617617</v>
      </c>
      <c r="E9" s="18">
        <f>E8*(1-Assumptions!B8)</f>
        <v>9971599495.91604</v>
      </c>
      <c r="F9" s="18">
        <f>F8*(1-Assumptions!B8)</f>
        <v>10422106118.409323</v>
      </c>
      <c r="G9" s="18">
        <f>G8*(1-Assumptions!B8)</f>
        <v>10850904688.1545</v>
      </c>
      <c r="H9" s="18">
        <f>H8*(1-Assumptions!B8)</f>
        <v>11253553371.754852</v>
      </c>
      <c r="I9" s="18">
        <f>I8*(1-Assumptions!B8)</f>
        <v>11625726265.048315</v>
      </c>
      <c r="J9" s="18">
        <f>J8*(1-Assumptions!B8)</f>
        <v>11963288464.513157</v>
      </c>
      <c r="K9" s="18">
        <f>K8*(1-Assumptions!B8)</f>
        <v>12262370676.125986</v>
      </c>
    </row>
    <row r="10" spans="1:11" x14ac:dyDescent="0.25">
      <c r="A10" t="s">
        <v>53</v>
      </c>
      <c r="B10" s="18">
        <f>B6*Assumptions!B9</f>
        <v>2642484790.10463</v>
      </c>
      <c r="C10" s="18">
        <f>C6*Assumptions!B9</f>
        <v>2793863115.8237367</v>
      </c>
      <c r="D10" s="18">
        <f>D6*Assumptions!B9</f>
        <v>2942637896.706098</v>
      </c>
      <c r="E10" s="18">
        <f>E6*Assumptions!B9</f>
        <v>3087459136.2507787</v>
      </c>
      <c r="F10" s="18">
        <f>F6*Assumptions!B9</f>
        <v>3226947368.617916</v>
      </c>
      <c r="G10" s="18">
        <f>G6*Assumptions!B9</f>
        <v>3359714239.4006047</v>
      </c>
      <c r="H10" s="18">
        <f>H6*Assumptions!B9</f>
        <v>3484384444.7563663</v>
      </c>
      <c r="I10" s="18">
        <f>I6*Assumptions!B9</f>
        <v>3599618575.462719</v>
      </c>
      <c r="J10" s="18">
        <f>J6*Assumptions!B9</f>
        <v>3704136360.9210577</v>
      </c>
      <c r="K10" s="18">
        <f>K6*Assumptions!B9</f>
        <v>3796739769.944084</v>
      </c>
    </row>
    <row r="11" spans="1:11" x14ac:dyDescent="0.25">
      <c r="A11" t="s">
        <v>54</v>
      </c>
      <c r="B11" s="18">
        <f>-B6*B19</f>
        <v>-4054634636.99441</v>
      </c>
      <c r="C11" s="18">
        <f>-C6*C19</f>
        <v>-4280520383.8674674</v>
      </c>
      <c r="D11" s="18">
        <f>-D6*D19</f>
        <v>-4501730756.89551</v>
      </c>
      <c r="E11" s="18">
        <f>-E6*E19</f>
        <v>-4716221443.359566</v>
      </c>
      <c r="F11" s="18">
        <f>-F6*F19</f>
        <v>-4921915531.94246</v>
      </c>
      <c r="G11" s="18">
        <f>-G6*G19</f>
        <v>-5116735193.551423</v>
      </c>
      <c r="H11" s="18">
        <f>-H6*H19</f>
        <v>-5298635145.365115</v>
      </c>
      <c r="I11" s="18">
        <f>-I6*I19</f>
        <v>-5465637187.865808</v>
      </c>
      <c r="J11" s="18">
        <f>-J6*J19</f>
        <v>-5615865034.772942</v>
      </c>
      <c r="K11" s="18">
        <f>-K6*K19</f>
        <v>-5747578607.221899</v>
      </c>
    </row>
    <row r="12" spans="1:11" x14ac:dyDescent="0.25">
      <c r="A12" t="s">
        <v>55</v>
      </c>
      <c r="B12" s="18">
        <f>-(B6-Assumptions!B29)*Assumptions!B11</f>
        <v>-216376726.08919683</v>
      </c>
      <c r="C12" s="18">
        <f>-(C6-B6)*Assumptions!B11</f>
        <v>-117758520.92100665</v>
      </c>
      <c r="D12" s="18">
        <f>-(D6-C6)*Assumptions!B11</f>
        <v>-115733200.66680104</v>
      </c>
      <c r="E12" s="18">
        <f>-(E6-D6)*Assumptions!B11</f>
        <v>-112657706.35073078</v>
      </c>
      <c r="F12" s="18">
        <f>-(F6-E6)*Assumptions!B11</f>
        <v>-108509113.51681405</v>
      </c>
      <c r="G12" s="18">
        <f>-(G6-F6)*Assumptions!B11</f>
        <v>-103280507.67116164</v>
      </c>
      <c r="H12" s="18">
        <f>-(H6-G6)*Assumptions!B11</f>
        <v>-96982040.96175757</v>
      </c>
      <c r="I12" s="18">
        <f>-(I6-H6)*Assumptions!B11</f>
        <v>-89641636.12681077</v>
      </c>
      <c r="J12" s="18">
        <f>-(J6-I6)*Assumptions!B11</f>
        <v>-81305297.61804354</v>
      </c>
      <c r="K12" s="18">
        <f>-(K6-J6)*Assumptions!B11</f>
        <v>-72037000.19135691</v>
      </c>
    </row>
    <row r="13" spans="1:11" x14ac:dyDescent="0.25">
      <c r="A13" s="19" t="s">
        <v>56</v>
      </c>
      <c r="B13" s="20">
        <f>B9+B10+B11+B12</f>
        <v>6905934560.965202</v>
      </c>
      <c r="C13" s="20">
        <f>C9+C10+C11+C12</f>
        <v>7418953527.993089</v>
      </c>
      <c r="D13" s="20">
        <f>D9+D10+D11+D12</f>
        <v>7829042742.761404</v>
      </c>
      <c r="E13" s="20">
        <f>E9+E10+E11+E12</f>
        <v>8230179482.456522</v>
      </c>
      <c r="F13" s="20">
        <f>F9+F10+F11+F12</f>
        <v>8618628841.567965</v>
      </c>
      <c r="G13" s="20">
        <f>G9+G10+G11+G12</f>
        <v>8990603226.33252</v>
      </c>
      <c r="H13" s="20">
        <f>H9+H10+H11+H12</f>
        <v>9342320630.184345</v>
      </c>
      <c r="I13" s="20">
        <f>I9+I10+I11+I12</f>
        <v>9670066016.518415</v>
      </c>
      <c r="J13" s="20">
        <f>J9+J10+J11+J12</f>
        <v>9970254493.04323</v>
      </c>
      <c r="K13" s="20">
        <f>K9+K10+K11+K12</f>
        <v>10239494838.656815</v>
      </c>
    </row>
    <row r="14" spans="1:11" x14ac:dyDescent="0.25">
      <c r="A14" t="s">
        <v>57</v>
      </c>
      <c r="B14" s="21">
        <f>1/(1+Assumptions!$B$26)^(1-0.5*Assumptions!$B$32)</f>
        <v>0.9610413874305023</v>
      </c>
      <c r="C14" s="21">
        <f>1/(1+Assumptions!$B$26)^(2-0.5*Assumptions!$B$32)</f>
        <v>0.887618352422032</v>
      </c>
      <c r="D14" s="21">
        <f>1/(1+Assumptions!$B$26)^(3-0.5*Assumptions!$B$32)</f>
        <v>0.8198047970263688</v>
      </c>
      <c r="E14" s="21">
        <f>1/(1+Assumptions!$B$26)^(4-0.5*Assumptions!$B$32)</f>
        <v>0.7571721600770764</v>
      </c>
      <c r="F14" s="21">
        <f>1/(1+Assumptions!$B$26)^(5-0.5*Assumptions!$B$32)</f>
        <v>0.6993246222458315</v>
      </c>
      <c r="G14" s="21">
        <f>1/(1+Assumptions!$B$26)^(6-0.5*Assumptions!$B$32)</f>
        <v>0.6458966045839449</v>
      </c>
      <c r="H14" s="21">
        <f>1/(1+Assumptions!$B$26)^(7-0.5*Assumptions!$B$32)</f>
        <v>0.5965504581739408</v>
      </c>
      <c r="I14" s="21">
        <f>1/(1+Assumptions!$B$26)^(8-0.5*Assumptions!$B$32)</f>
        <v>0.5509743302904874</v>
      </c>
      <c r="J14" s="21">
        <f>1/(1+Assumptions!$B$26)^(9-0.5*Assumptions!$B$32)</f>
        <v>0.5088801935854619</v>
      </c>
      <c r="K14" s="21">
        <f>1/(1+Assumptions!$B$26)^(10-0.5*Assumptions!$B$32)</f>
        <v>0.47000202584219763</v>
      </c>
    </row>
    <row r="15" spans="1:11" x14ac:dyDescent="0.25">
      <c r="A15" s="19" t="s">
        <v>58</v>
      </c>
      <c r="B15" s="20">
        <f>B13*B14</f>
        <v>6636888931.974255</v>
      </c>
      <c r="C15" s="20">
        <f>C13*C14</f>
        <v>6585199307.212847</v>
      </c>
      <c r="D15" s="20">
        <f>D13*D14</f>
        <v>6418286796.640278</v>
      </c>
      <c r="E15" s="20">
        <f>E13*E14</f>
        <v>6231662776.553639</v>
      </c>
      <c r="F15" s="20">
        <f>F13*F14</f>
        <v>6027219358.906545</v>
      </c>
      <c r="G15" s="20">
        <f>G13*G14</f>
        <v>5807000097.049635</v>
      </c>
      <c r="H15" s="20">
        <f>H13*H14</f>
        <v>5573165652.344331</v>
      </c>
      <c r="I15" s="20">
        <f>I13*I14</f>
        <v>5327958147.316035</v>
      </c>
      <c r="J15" s="20">
        <f>J13*J14</f>
        <v>5073665036.51616</v>
      </c>
      <c r="K15" s="20">
        <f>K13*K14</f>
        <v>4812583317.769429</v>
      </c>
    </row>
    <row r="17" spans="1:2" x14ac:dyDescent="0.25">
      <c r="A17" s="22" t="s">
        <v>59</v>
      </c>
      <c r="B17" s="23">
        <f>SUM(B15:K15)</f>
        <v>58493629422.28315</v>
      </c>
    </row>
    <row r="19" spans="1:11" x14ac:dyDescent="0.25">
      <c r="A19" t="s">
        <v>7</v>
      </c>
      <c r="B19" s="9">
        <f>Assumptions!$B$10+($B$20-Assumptions!$B$10)*0/9</f>
        <v>0.14801460059511706</v>
      </c>
      <c r="C19" s="9">
        <f>Assumptions!$B$10+($B$20-Assumptions!$B$10)*1/9</f>
        <v>0.14779398969365232</v>
      </c>
      <c r="D19" s="9">
        <f>Assumptions!$B$10+($B$20-Assumptions!$B$10)*2/9</f>
        <v>0.14757337879218757</v>
      </c>
      <c r="E19" s="9">
        <f>Assumptions!$B$10+($B$20-Assumptions!$B$10)*3/9</f>
        <v>0.1473527678907228</v>
      </c>
      <c r="F19" s="9">
        <f>Assumptions!$B$10+($B$20-Assumptions!$B$10)*4/9</f>
        <v>0.14713215698925805</v>
      </c>
      <c r="G19" s="9">
        <f>Assumptions!$B$10+($B$20-Assumptions!$B$10)*5/9</f>
        <v>0.1469115460877933</v>
      </c>
      <c r="H19" s="9">
        <f>Assumptions!$B$10+($B$20-Assumptions!$B$10)*6/9</f>
        <v>0.14669093518632856</v>
      </c>
      <c r="I19" s="9">
        <f>Assumptions!$B$10+($B$20-Assumptions!$B$10)*7/9</f>
        <v>0.14647032428486378</v>
      </c>
      <c r="J19" s="9">
        <f>Assumptions!$B$10+($B$20-Assumptions!$B$10)*8/9</f>
        <v>0.14624971338339904</v>
      </c>
      <c r="K19" s="9">
        <f>Assumptions!$B$10+($B$20-Assumptions!$B$10)*9/9</f>
        <v>0.1460291024819343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0.1460291024819343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10239494838.656815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12262370676.125986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0.1590914912624496</v>
      </c>
    </row>
    <row r="7" spans="1:2" x14ac:dyDescent="0.25">
      <c r="A7" t="s">
        <v>66</v>
      </c>
      <c r="B7" s="18">
        <f>-MAX(B5,0)*B6</f>
        <v>-1950838837.2778153</v>
      </c>
    </row>
    <row r="8" spans="1:2" x14ac:dyDescent="0.25">
      <c r="A8" t="s">
        <v>67</v>
      </c>
      <c r="B8" s="18">
        <f>IF(OR(Assumptions!$B$33=0,Assumptions!B12&lt;=0),B5,MAX(B5+B7,0))</f>
        <v>10311531838.848171</v>
      </c>
    </row>
    <row r="9" spans="1:2" x14ac:dyDescent="0.25">
      <c r="A9" t="s">
        <v>68</v>
      </c>
      <c r="B9" s="18">
        <f>B8*(1+Assumptions!B12)/(Assumptions!B26-Assumptions!B12)</f>
        <v>183116353314.87372</v>
      </c>
    </row>
    <row r="10" spans="1:2" x14ac:dyDescent="0.25">
      <c r="A10" t="s">
        <v>69</v>
      </c>
      <c r="B10" s="18">
        <f>B9/(1+Assumptions!B26)^(10-0.5*Assumptions!B32)</f>
        <v>86065057022.82626</v>
      </c>
    </row>
    <row r="11" spans="1:2" x14ac:dyDescent="0.25">
      <c r="A11" t="s">
        <v>70</v>
      </c>
      <c r="B11" s="18">
        <f>Forecast!B17+B10</f>
        <v>144558686445.1094</v>
      </c>
    </row>
    <row r="12" spans="1:2" x14ac:dyDescent="0.25">
      <c r="A12" t="s">
        <v>71</v>
      </c>
      <c r="B12" s="18">
        <f>-Assumptions!B30</f>
        <v>-31306000000</v>
      </c>
    </row>
    <row r="13" spans="1:2" x14ac:dyDescent="0.25">
      <c r="A13" t="s">
        <v>72</v>
      </c>
      <c r="B13" s="18">
        <f>B11+B12</f>
        <v>113252686445.1094</v>
      </c>
    </row>
    <row r="14" spans="1:2" x14ac:dyDescent="0.25">
      <c r="A14" s="19" t="s">
        <v>73</v>
      </c>
      <c r="B14" s="24">
        <f>B13/Assumptions!B31</f>
        <v>190.05317409818662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19318727967.571915</v>
      </c>
    </row>
    <row r="18" spans="1:2" x14ac:dyDescent="0.25">
      <c r="A18" t="s">
        <v>68</v>
      </c>
      <c r="B18" s="18">
        <f>B17*Assumptions!B13</f>
        <v>332526550143.8969</v>
      </c>
    </row>
    <row r="19" spans="1:2" x14ac:dyDescent="0.25">
      <c r="A19" t="s">
        <v>69</v>
      </c>
      <c r="B19" s="18">
        <f>B18/(1+Assumptions!B26)^(10-0.5*Assumptions!B32)</f>
        <v>156288152213.94867</v>
      </c>
    </row>
    <row r="20" spans="1:2" x14ac:dyDescent="0.25">
      <c r="A20" t="s">
        <v>70</v>
      </c>
      <c r="B20" s="18">
        <f>Forecast!B17+B19</f>
        <v>214781781636.2318</v>
      </c>
    </row>
    <row r="21" spans="1:2" x14ac:dyDescent="0.25">
      <c r="A21" t="s">
        <v>71</v>
      </c>
      <c r="B21" s="18">
        <f>-Assumptions!B30</f>
        <v>-31306000000</v>
      </c>
    </row>
    <row r="22" spans="1:2" x14ac:dyDescent="0.25">
      <c r="A22" t="s">
        <v>72</v>
      </c>
      <c r="B22" s="18">
        <f>B20+B21</f>
        <v>183475781636.2318</v>
      </c>
    </row>
    <row r="23" spans="1:2" x14ac:dyDescent="0.25">
      <c r="A23" s="19" t="s">
        <v>73</v>
      </c>
      <c r="B23" s="25">
        <f>B22/Assumptions!B31</f>
        <v>307.8969317607515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190.05317409818662</v>
      </c>
    </row>
    <row r="29" spans="1:2" x14ac:dyDescent="0.25">
      <c r="A29" s="19" t="s">
        <v>81</v>
      </c>
      <c r="B29" s="11">
        <f>B28/B26-1</f>
        <v>-0.37482508520333346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0.062719</v>
      </c>
      <c r="B5" s="31">
        <v>280.89360469093776</v>
      </c>
      <c r="C5" s="31">
        <v>297.35543100144923</v>
      </c>
      <c r="D5" s="31">
        <v>318.6115851571244</v>
      </c>
      <c r="E5" s="31">
        <v>346.860023014727</v>
      </c>
      <c r="F5" s="31">
        <v>385.8845843783234</v>
      </c>
    </row>
    <row r="6" spans="1:6" x14ac:dyDescent="0.25">
      <c r="A6" s="30">
        <v>0.072719</v>
      </c>
      <c r="B6" s="31">
        <v>221.7968317248171</v>
      </c>
      <c r="C6" s="31">
        <v>230.26724892759316</v>
      </c>
      <c r="D6" s="31">
        <v>240.83386348964405</v>
      </c>
      <c r="E6" s="31">
        <v>254.2327169940857</v>
      </c>
      <c r="F6" s="31">
        <v>271.59012732145214</v>
      </c>
    </row>
    <row r="7" spans="1:6" x14ac:dyDescent="0.25">
      <c r="A7" s="30">
        <v>0.082719</v>
      </c>
      <c r="B7" s="31">
        <v>180.26380520981684</v>
      </c>
      <c r="C7" s="31">
        <v>184.65304293171675</v>
      </c>
      <c r="D7" s="32">
        <v>190.05380052487445</v>
      </c>
      <c r="E7" s="31">
        <v>196.75388310829584</v>
      </c>
      <c r="F7" s="31">
        <v>205.16172075918178</v>
      </c>
    </row>
    <row r="8" spans="1:6" x14ac:dyDescent="0.25">
      <c r="A8" s="30">
        <v>0.092719</v>
      </c>
      <c r="B8" s="31">
        <v>149.5075196715242</v>
      </c>
      <c r="C8" s="31">
        <v>151.64849882492877</v>
      </c>
      <c r="D8" s="31">
        <v>154.30817410814225</v>
      </c>
      <c r="E8" s="31">
        <v>157.61059791273894</v>
      </c>
      <c r="F8" s="31">
        <v>161.72280757167212</v>
      </c>
    </row>
    <row r="9" spans="1:6" x14ac:dyDescent="0.25">
      <c r="A9" s="30">
        <v>0.102719</v>
      </c>
      <c r="B9" s="31">
        <v>125.83641591122462</v>
      </c>
      <c r="C9" s="31">
        <v>126.67617615436006</v>
      </c>
      <c r="D9" s="31">
        <v>127.79115975670915</v>
      </c>
      <c r="E9" s="31">
        <v>129.23813799384237</v>
      </c>
      <c r="F9" s="31">
        <v>131.090648861326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24510000000</v>
      </c>
      <c r="C5" s="18">
        <v>24250000000</v>
      </c>
      <c r="D5" s="18">
        <v>24119000000</v>
      </c>
      <c r="E5" s="18">
        <v>24875000000</v>
      </c>
      <c r="F5" s="6" t="s">
        <v>91</v>
      </c>
    </row>
    <row r="6" spans="1:6" x14ac:dyDescent="0.25">
      <c r="A6" t="s">
        <v>51</v>
      </c>
      <c r="B6" s="18">
        <v>9846000000</v>
      </c>
      <c r="C6" s="18">
        <v>9713000000</v>
      </c>
      <c r="D6" s="18">
        <v>9082000000</v>
      </c>
      <c r="E6" s="18">
        <v>9917000000</v>
      </c>
      <c r="F6" s="6" t="s">
        <v>92</v>
      </c>
    </row>
    <row r="7" spans="1:6" x14ac:dyDescent="0.25">
      <c r="A7" t="s">
        <v>93</v>
      </c>
      <c r="B7" s="18">
        <v>2465000000</v>
      </c>
      <c r="C7" s="18">
        <v>2398000000</v>
      </c>
      <c r="D7" s="18">
        <v>2318000000</v>
      </c>
      <c r="E7" s="18">
        <v>2246000000</v>
      </c>
      <c r="F7" s="6" t="s">
        <v>94</v>
      </c>
    </row>
    <row r="8" spans="1:6" x14ac:dyDescent="0.25">
      <c r="A8" t="s">
        <v>95</v>
      </c>
      <c r="B8" s="18">
        <v>3791000000</v>
      </c>
      <c r="C8" s="18">
        <v>3452000000</v>
      </c>
      <c r="D8" s="18">
        <v>3606000000</v>
      </c>
      <c r="E8" s="18">
        <v>3620000000</v>
      </c>
      <c r="F8" s="6" t="s">
        <v>96</v>
      </c>
    </row>
    <row r="9" spans="1:6" x14ac:dyDescent="0.25">
      <c r="A9" t="s">
        <v>97</v>
      </c>
      <c r="B9" s="18">
        <v>361000000</v>
      </c>
      <c r="C9" s="18">
        <v>-186000000</v>
      </c>
      <c r="D9" s="18">
        <v>303000000</v>
      </c>
      <c r="E9" s="18">
        <v>-8000000</v>
      </c>
      <c r="F9" s="6" t="s">
        <v>98</v>
      </c>
    </row>
    <row r="10" spans="1:6" x14ac:dyDescent="0.25">
      <c r="A10" t="s">
        <v>99</v>
      </c>
      <c r="B10" s="18">
        <v>32822000000</v>
      </c>
      <c r="C10" s="18">
        <v>32463000000</v>
      </c>
      <c r="D10" s="18">
        <v>34179000000</v>
      </c>
      <c r="E10" s="18">
        <v>34957000000</v>
      </c>
      <c r="F10" s="6" t="s">
        <v>100</v>
      </c>
    </row>
    <row r="11" spans="1:6" x14ac:dyDescent="0.25">
      <c r="A11" t="s">
        <v>101</v>
      </c>
      <c r="B11" s="18">
        <v>1516000000</v>
      </c>
      <c r="C11" s="18">
        <v>1036000000</v>
      </c>
      <c r="D11" s="18">
        <v>1071000000</v>
      </c>
      <c r="E11" s="18">
        <v>1019000000</v>
      </c>
      <c r="F11" s="6" t="s">
        <v>102</v>
      </c>
    </row>
    <row r="12" spans="1:6" x14ac:dyDescent="0.25">
      <c r="A12" t="s">
        <v>34</v>
      </c>
      <c r="B12" s="34">
        <v>595900000</v>
      </c>
      <c r="C12" s="34">
        <v>608600000</v>
      </c>
      <c r="D12" s="34">
        <v>610200000</v>
      </c>
      <c r="E12" s="34">
        <v>624000000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