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<sst xmlns="http://schemas.openxmlformats.org/spreadsheetml/2006/main" count="112" uniqueCount="100">
  <si>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United Parcel Service, Inc. (UPS)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</si>
  <si>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</si>
  <si>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</si>
  <si>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</si>
  <si>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</si>
  <si>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</si>
  <si>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</si>
  <si>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</si>
  <si>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</si>
  <si>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</si>
  <si>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</si>
  <si>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</si>
  <si>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</si>
  <si>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</si>
  <si>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</si>
  <si>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</si>
  <si>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</si>
  <si>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</si>
  <si>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</si>
  <si>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</si>
  <si>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</si>
  <si>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</si>
  <si>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</si>
  <si>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</si>
  <si>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</si>
  <si>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</si>
  <si>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</si>
  <si>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</si>
  <si>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</si>
  <si>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</si>
  <si>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</si>
  <si>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</si>
  <si>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</si>
  <si>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</si>
  <si>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</si>
  <si>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</si>
  <si>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</si>
  <si>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</si>
  <si>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</si>
  <si>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</si>
  <si>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</si>
  <si>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</si>
  <si>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</si>
  <si>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</si>
  <si>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</si>
  <si>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</si>
  <si>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</si>
  <si>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</si>
  <si>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</si>
  <si>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</si>
  <si>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</si>
  <si>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</si>
  <si>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</si>
  <si>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</si>
  <si>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</si>
  <si>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</si>
  <si>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</si>
  <si>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</si>
  <si>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</si>
  <si>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</si>
  <si>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</si>
  <si>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</si>
  <si>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</si>
  <si>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</si>
  <si>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</si>
  <si>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</si>
  <si>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</si>
  <si>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</si>
  <si>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</si>
  <si>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</si>
  <si>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</si>
  <si>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</si>
  <si>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</si>
  <si>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</si>
  <si>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</si>
  <si>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</si>
  <si>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</si>
  <si>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</si>
  <si>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</si>
  <si>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</si>
  <si>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</si>
  <si>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</si>
  <si>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</si>
  <si>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</si>
  <si>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</si>
  <si>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</si>
  <si>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</si>
  <si>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</si>
  <si>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</si>
  <si>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</si>
  <si>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</si>
  <si>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</si>
  <si>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</si>
  <si>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</si>
  <si>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</si>
  <si>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</si>
  <si>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</si>
  <si>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</si>
  <si>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4.7% of revenue against depreciation of 3.8%.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</si>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</sst>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-0.04040260188163358</v>
      </c>
    </row>
    <row r="7" spans="1:2" x14ac:dyDescent="0.25">
      <c r="A7" t="s">
        <v>5</v>
      </c>
      <c r="B7" s="6">
        <v>0.10317762509318694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0.03766459419264717</v>
      </c>
    </row>
    <row r="10" spans="1:2" x14ac:dyDescent="0.25">
      <c r="A10" t="s">
        <v>8</v>
      </c>
      <c r="B10" s="6">
        <v>0.04718066876326119</v>
      </c>
    </row>
    <row r="11" spans="1:2" x14ac:dyDescent="0.25">
      <c r="A11" t="s">
        <v>9</v>
      </c>
      <c r="B11" s="6">
        <v>-0.41386467413864675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9.21221212916559</v>
      </c>
    </row>
    <row r="14" spans="1:3" x14ac:dyDescent="0.25">
      <c r="A14" t="s">
        <v>12</v>
      </c>
      <c r="B14" s="6">
        <v>0.17926629321492557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1.02546</v>
      </c>
      <c r="C19" s="8" t="s">
        <v>19</v>
      </c>
    </row>
    <row r="20" spans="1:2" x14ac:dyDescent="0.25">
      <c r="A20" t="s">
        <v>20</v>
      </c>
      <c r="B20" s="10">
        <f>B17+B19*B18</f>
        <v>0.10638030000000001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84278419456</v>
      </c>
    </row>
    <row r="23" spans="1:2" x14ac:dyDescent="0.25">
      <c r="A23" t="s">
        <v>24</v>
      </c>
      <c r="B23" s="11">
        <v>28590000000</v>
      </c>
    </row>
    <row r="24" spans="1:2" x14ac:dyDescent="0.25">
      <c r="A24" t="s">
        <v>25</v>
      </c>
      <c r="B24" s="10">
        <f>B22/(B22+B23)</f>
        <v>0.7466961959970976</v>
      </c>
    </row>
    <row r="25" spans="1:2" x14ac:dyDescent="0.25">
      <c r="A25" t="s">
        <v>26</v>
      </c>
      <c r="B25" s="10">
        <f>1-B24</f>
        <v>0.2533038040029024</v>
      </c>
    </row>
    <row r="26" spans="1:2" x14ac:dyDescent="0.25">
      <c r="A26" t="s">
        <v>27</v>
      </c>
      <c r="B26" s="12">
        <f>B24*B20+B25*B21*(1-B8)</f>
        <v>0.08943526339704144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88661000000</v>
      </c>
      <c r="C29" s="8" t="s">
        <v>30</v>
      </c>
    </row>
    <row r="30" spans="1:2" x14ac:dyDescent="0.25">
      <c r="A30" t="s">
        <v>31</v>
      </c>
      <c r="B30" s="11">
        <v>22703000000</v>
      </c>
    </row>
    <row r="31" spans="1:2" x14ac:dyDescent="0.25">
      <c r="A31" t="s">
        <v>32</v>
      </c>
      <c r="B31" s="13">
        <v>850000000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-0.04040260188163358</v>
      </c>
      <c r="C5" s="10">
        <f>Assumptions!B6</f>
        <v>-0.04040260188163358</v>
      </c>
      <c r="D5" s="10">
        <f>Assumptions!B6</f>
        <v>-0.04040260188163358</v>
      </c>
      <c r="E5" s="10">
        <f>Assumptions!B6</f>
        <v>-0.04040260188163358</v>
      </c>
      <c r="F5" s="10">
        <f>Assumptions!B6</f>
        <v>-0.04040260188163358</v>
      </c>
    </row>
    <row r="6" spans="1:6" x14ac:dyDescent="0.25">
      <c r="A6" t="s">
        <v>43</v>
      </c>
      <c r="B6" s="18">
        <f>Assumptions!B29*(1+B5)</f>
        <v>85078864914.57248</v>
      </c>
      <c r="C6" s="18">
        <f>B6*(1+C5)</f>
        <v>81641457406.88773</v>
      </c>
      <c r="D6" s="18">
        <f>C6*(1+D5)</f>
        <v>78342930106.24089</v>
      </c>
      <c r="E6" s="18">
        <f>D6*(1+E5)</f>
        <v>75177671890.9178</v>
      </c>
      <c r="F6" s="18">
        <f>E6*(1+F5)</f>
        <v>72140298343.12097</v>
      </c>
    </row>
    <row r="7" spans="1:6" x14ac:dyDescent="0.25">
      <c r="A7" t="s">
        <v>5</v>
      </c>
      <c r="B7" s="10">
        <f>Assumptions!B7</f>
        <v>0.10317762509318694</v>
      </c>
      <c r="C7" s="10">
        <f>Assumptions!B7</f>
        <v>0.10317762509318694</v>
      </c>
      <c r="D7" s="10">
        <f>Assumptions!B7</f>
        <v>0.10317762509318694</v>
      </c>
      <c r="E7" s="10">
        <f>Assumptions!B7</f>
        <v>0.10317762509318694</v>
      </c>
      <c r="F7" s="10">
        <f>Assumptions!B7</f>
        <v>0.10317762509318694</v>
      </c>
    </row>
    <row r="8" spans="1:6" x14ac:dyDescent="0.25">
      <c r="A8" t="s">
        <v>44</v>
      </c>
      <c r="B8" s="18">
        <f>B6*B7</f>
        <v>8778235227.509655</v>
      </c>
      <c r="C8" s="18">
        <f>C6*C7</f>
        <v>8423571684.389252</v>
      </c>
      <c r="D8" s="18">
        <f>D6*D7</f>
        <v>8083237471.20347</v>
      </c>
      <c r="E8" s="18">
        <f>E6*E7</f>
        <v>7756653645.739735</v>
      </c>
      <c r="F8" s="18">
        <f>F6*F7</f>
        <v>7443264656.557191</v>
      </c>
    </row>
    <row r="9" spans="1:6" x14ac:dyDescent="0.25">
      <c r="A9" t="s">
        <v>45</v>
      </c>
      <c r="B9" s="18">
        <f>B8*(1-Assumptions!B8)</f>
        <v>6934805829.732628</v>
      </c>
      <c r="C9" s="18">
        <f>C8*(1-Assumptions!B8)</f>
        <v>6654621630.667509</v>
      </c>
      <c r="D9" s="18">
        <f>D8*(1-Assumptions!B8)</f>
        <v>6385757602.250742</v>
      </c>
      <c r="E9" s="18">
        <f>E8*(1-Assumptions!B8)</f>
        <v>6127756380.134391</v>
      </c>
      <c r="F9" s="18">
        <f>F8*(1-Assumptions!B8)</f>
        <v>5880179078.6801815</v>
      </c>
    </row>
    <row r="10" spans="1:6" x14ac:dyDescent="0.25">
      <c r="A10" t="s">
        <v>46</v>
      </c>
      <c r="B10" s="18">
        <f>B6*Assumptions!B9</f>
        <v>3204460921.37842</v>
      </c>
      <c r="C10" s="18">
        <f>C6*Assumptions!B9</f>
        <v>3074992362.526715</v>
      </c>
      <c r="D10" s="18">
        <f>D6*Assumptions!B9</f>
        <v>2950754670.314484</v>
      </c>
      <c r="E10" s="18">
        <f>E6*Assumptions!B9</f>
        <v>2831536504.119397</v>
      </c>
      <c r="F10" s="18">
        <f>F6*Assumptions!B9</f>
        <v>2717135062.0301485</v>
      </c>
    </row>
    <row r="11" spans="1:6" x14ac:dyDescent="0.25">
      <c r="A11" t="s">
        <v>47</v>
      </c>
      <c r="B11" s="18">
        <f>-B6*Assumptions!B10</f>
        <v>-4014077744.288688</v>
      </c>
      <c r="C11" s="18">
        <f>-C6*Assumptions!B10</f>
        <v>-3851898559.264267</v>
      </c>
      <c r="D11" s="18">
        <f>-D6*Assumptions!B10</f>
        <v>-3696271835.2858744</v>
      </c>
      <c r="E11" s="18">
        <f>-E6*Assumptions!B10</f>
        <v>-3546932835.8785243</v>
      </c>
      <c r="F11" s="18">
        <f>-F6*Assumptions!B10</f>
        <v>-3403627520.6096306</v>
      </c>
    </row>
    <row r="12" spans="1:6" x14ac:dyDescent="0.25">
      <c r="A12" t="s">
        <v>48</v>
      </c>
      <c r="B12" s="18">
        <f>-(B6-Assumptions!B29)*Assumptions!B11</f>
        <v>-1482519169.8510745</v>
      </c>
      <c r="C12" s="18">
        <f>-(C6-B6)*Assumptions!B11</f>
        <v>-1422621538.0496883</v>
      </c>
      <c r="D12" s="18">
        <f>-(D6-C6)*Assumptions!B11</f>
        <v>-1365143926.4196327</v>
      </c>
      <c r="E12" s="18">
        <f>-(E6-D6)*Assumptions!B11</f>
        <v>-1309988559.849365</v>
      </c>
      <c r="F12" s="18">
        <f>-(F6-E6)*Assumptions!B11</f>
        <v>-1257061613.59628</v>
      </c>
    </row>
    <row r="13" spans="1:6" x14ac:dyDescent="0.25">
      <c r="A13" s="19" t="s">
        <v>49</v>
      </c>
      <c r="B13" s="20">
        <f>B9+B10+B11+B12</f>
        <v>4642669836.971285</v>
      </c>
      <c r="C13" s="20">
        <f>C9+C10+C11+C12</f>
        <v>4455093895.880268</v>
      </c>
      <c r="D13" s="20">
        <f>D9+D10+D11+D12</f>
        <v>4275096510.8597183</v>
      </c>
      <c r="E13" s="20">
        <f>E9+E10+E11+E12</f>
        <v>4102371488.525898</v>
      </c>
      <c r="F13" s="20">
        <f>F9+F10+F11+F12</f>
        <v>3936625006.5044203</v>
      </c>
    </row>
    <row r="14" spans="1:6" x14ac:dyDescent="0.25">
      <c r="A14" t="s">
        <v>50</v>
      </c>
      <c r="B14" s="21">
        <f>1/(1+Assumptions!$B$26)^(1-0.5*Assumptions!$B$32)</f>
        <v>0.9580745099202254</v>
      </c>
      <c r="C14" s="21">
        <f>1/(1+Assumptions!$B$26)^(2-0.5*Assumptions!$B$32)</f>
        <v>0.8794230755233575</v>
      </c>
      <c r="D14" s="21">
        <f>1/(1+Assumptions!$B$26)^(3-0.5*Assumptions!$B$32)</f>
        <v>0.8072283916909108</v>
      </c>
      <c r="E14" s="21">
        <f>1/(1+Assumptions!$B$26)^(4-0.5*Assumptions!$B$32)</f>
        <v>0.7409604028915291</v>
      </c>
      <c r="F14" s="21">
        <f>1/(1+Assumptions!$B$26)^(5-0.5*Assumptions!$B$32)</f>
        <v>0.6801325675663283</v>
      </c>
    </row>
    <row r="15" spans="1:6" x14ac:dyDescent="0.25">
      <c r="A15" s="19" t="s">
        <v>51</v>
      </c>
      <c r="B15" s="20">
        <f>B13*B14</f>
        <v>4448023628.777677</v>
      </c>
      <c r="C15" s="20">
        <f>C13*C14</f>
        <v>3917912375.6603622</v>
      </c>
      <c r="D15" s="20">
        <f>D13*D14</f>
        <v>3450979280.7847147</v>
      </c>
      <c r="E15" s="20">
        <f>E13*E14</f>
        <v>3039694830.948871</v>
      </c>
      <c r="F15" s="20">
        <f>F13*F14</f>
        <v>2677426873.2196655</v>
      </c>
    </row>
    <row r="17" spans="1:2" x14ac:dyDescent="0.25">
      <c r="A17" s="22" t="s">
        <v>52</v>
      </c>
      <c r="B17" s="23">
        <f>SUM(B15:F15)</f>
        <v>17534036989.39129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3936625006.5044203</v>
      </c>
    </row>
    <row r="5" spans="1:2" x14ac:dyDescent="0.25">
      <c r="A5" t="s">
        <v>56</v>
      </c>
      <c r="B5" s="18">
        <f>IF(Assumptions!$B$33=0,B4,B4-Forecast!F11-Forecast!F10-Forecast!F12)</f>
        <v>5880179078.6801815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0.13945733774964073</v>
      </c>
    </row>
    <row r="7" spans="1:2" x14ac:dyDescent="0.25">
      <c r="A7" t="s">
        <v>58</v>
      </c>
      <c r="B7" s="18">
        <f>-MAX(Forecast!F9,0)*B6</f>
        <v>-820034119.8038733</v>
      </c>
    </row>
    <row r="8" spans="1:2" x14ac:dyDescent="0.25">
      <c r="A8" t="s">
        <v>59</v>
      </c>
      <c r="B8" s="18">
        <f>IF(OR(Assumptions!$B$33=0,Assumptions!B12&lt;=0),B5,MAX(B5+B7,0))</f>
        <v>5060144958.876308</v>
      </c>
    </row>
    <row r="9" spans="1:2" x14ac:dyDescent="0.25">
      <c r="A9" t="s">
        <v>60</v>
      </c>
      <c r="B9" s="18">
        <f>B8*(1+Assumptions!B12)/(Assumptions!B26-Assumptions!B12)</f>
        <v>80493945541.72586</v>
      </c>
    </row>
    <row r="10" spans="1:2" x14ac:dyDescent="0.25">
      <c r="A10" t="s">
        <v>61</v>
      </c>
      <c r="B10" s="18">
        <f>B9/(1+Assumptions!B26)^(5-0.5*Assumptions!B32)</f>
        <v>54746553854.83822</v>
      </c>
    </row>
    <row r="11" spans="1:2" x14ac:dyDescent="0.25">
      <c r="A11" t="s">
        <v>62</v>
      </c>
      <c r="B11" s="18">
        <f>Forecast!B17+B10</f>
        <v>72280590844.2295</v>
      </c>
    </row>
    <row r="12" spans="1:2" x14ac:dyDescent="0.25">
      <c r="A12" t="s">
        <v>63</v>
      </c>
      <c r="B12" s="18">
        <f>-Assumptions!B30</f>
        <v>-22703000000</v>
      </c>
    </row>
    <row r="13" spans="1:2" x14ac:dyDescent="0.25">
      <c r="A13" t="s">
        <v>64</v>
      </c>
      <c r="B13" s="18">
        <f>B11+B12</f>
        <v>49577590844.22951</v>
      </c>
    </row>
    <row r="14" spans="1:2" x14ac:dyDescent="0.25">
      <c r="A14" s="19" t="s">
        <v>65</v>
      </c>
      <c r="B14" s="24">
        <f>B13/Assumptions!B31</f>
        <v>58.32657746379942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10160399718.58734</v>
      </c>
    </row>
    <row r="18" spans="1:2" x14ac:dyDescent="0.25">
      <c r="A18" t="s">
        <v>60</v>
      </c>
      <c r="B18" s="18">
        <f>B17*Assumptions!B13</f>
        <v>93599757524.74094</v>
      </c>
    </row>
    <row r="19" spans="1:2" x14ac:dyDescent="0.25">
      <c r="A19" t="s">
        <v>61</v>
      </c>
      <c r="B19" s="18">
        <f>B18/(1+Assumptions!B26)^(5-0.5*Assumptions!B32)</f>
        <v>63660243408.88782</v>
      </c>
    </row>
    <row r="20" spans="1:2" x14ac:dyDescent="0.25">
      <c r="A20" t="s">
        <v>62</v>
      </c>
      <c r="B20" s="18">
        <f>Forecast!B17+B19</f>
        <v>81194280398.27911</v>
      </c>
    </row>
    <row r="21" spans="1:2" x14ac:dyDescent="0.25">
      <c r="A21" t="s">
        <v>63</v>
      </c>
      <c r="B21" s="18">
        <f>-Assumptions!B30</f>
        <v>-22703000000</v>
      </c>
    </row>
    <row r="22" spans="1:2" x14ac:dyDescent="0.25">
      <c r="A22" t="s">
        <v>64</v>
      </c>
      <c r="B22" s="18">
        <f>B20+B21</f>
        <v>58491280398.27911</v>
      </c>
    </row>
    <row r="23" spans="1:2" x14ac:dyDescent="0.25">
      <c r="A23" s="19" t="s">
        <v>65</v>
      </c>
      <c r="B23" s="25">
        <f>B22/Assumptions!B31</f>
        <v>68.81327105679895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99.06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58.32657746379942</v>
      </c>
    </row>
    <row r="29" spans="1:2" x14ac:dyDescent="0.25">
      <c r="A29" s="19" t="s">
        <v>73</v>
      </c>
      <c r="B29" s="12">
        <f>B28/B26-1</f>
        <v>-0.4111995006682877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0.069435</v>
      </c>
      <c r="B5" s="31">
        <v>82.18396638836037</v>
      </c>
      <c r="C5" s="31">
        <v>88.5527065815789</v>
      </c>
      <c r="D5" s="31">
        <v>96.32261655751188</v>
      </c>
      <c r="E5" s="31">
        <v>106.02666314107924</v>
      </c>
      <c r="F5" s="31">
        <v>118.50736264169049</v>
      </c>
    </row>
    <row r="6" spans="1:6" x14ac:dyDescent="0.25">
      <c r="A6" s="30">
        <v>0.079435</v>
      </c>
      <c r="B6" s="31">
        <v>65.14425946725866</v>
      </c>
      <c r="C6" s="31">
        <v>69.13013898709715</v>
      </c>
      <c r="D6" s="31">
        <v>73.82311653761185</v>
      </c>
      <c r="E6" s="31">
        <v>79.43774598671311</v>
      </c>
      <c r="F6" s="31">
        <v>86.28515096394506</v>
      </c>
    </row>
    <row r="7" spans="1:6" x14ac:dyDescent="0.25">
      <c r="A7" s="30">
        <v>0.089435</v>
      </c>
      <c r="B7" s="31">
        <v>52.70899718202044</v>
      </c>
      <c r="C7" s="31">
        <v>55.32513673513419</v>
      </c>
      <c r="D7" s="32">
        <v>58.32692203549108</v>
      </c>
      <c r="E7" s="31">
        <v>61.81168102468529</v>
      </c>
      <c r="F7" s="31">
        <v>65.91250096886101</v>
      </c>
    </row>
    <row r="8" spans="1:6" x14ac:dyDescent="0.25">
      <c r="A8" s="30">
        <v>0.099435</v>
      </c>
      <c r="B8" s="31">
        <v>43.240709214394606</v>
      </c>
      <c r="C8" s="31">
        <v>45.01477191111356</v>
      </c>
      <c r="D8" s="31">
        <v>47.01025167943398</v>
      </c>
      <c r="E8" s="31">
        <v>49.27498111205443</v>
      </c>
      <c r="F8" s="31">
        <v>51.87163957522768</v>
      </c>
    </row>
    <row r="9" spans="1:6" x14ac:dyDescent="0.25">
      <c r="A9" s="30">
        <v>0.109435</v>
      </c>
      <c r="B9" s="31">
        <v>35.795604754624115</v>
      </c>
      <c r="C9" s="31">
        <v>37.02568574633574</v>
      </c>
      <c r="D9" s="31">
        <v>38.38712988818828</v>
      </c>
      <c r="E9" s="31">
        <v>39.9047429616649</v>
      </c>
      <c r="F9" s="31">
        <v>41.609995833620715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88661000000</v>
      </c>
      <c r="C5" s="18">
        <v>91070000000</v>
      </c>
      <c r="D5" s="18">
        <v>90958000000</v>
      </c>
      <c r="E5" s="18">
        <v>100338000000</v>
      </c>
      <c r="F5" s="8" t="s">
        <v>84</v>
      </c>
    </row>
    <row r="6" spans="1:6" x14ac:dyDescent="0.25">
      <c r="A6" t="s">
        <v>44</v>
      </c>
      <c r="B6" s="18">
        <v>7867000000</v>
      </c>
      <c r="C6" s="18">
        <v>8468000000</v>
      </c>
      <c r="D6" s="18">
        <v>9141000000</v>
      </c>
      <c r="E6" s="18">
        <v>13094000000</v>
      </c>
      <c r="F6" s="8" t="s">
        <v>85</v>
      </c>
    </row>
    <row r="7" spans="1:6" x14ac:dyDescent="0.25">
      <c r="A7" t="s">
        <v>86</v>
      </c>
      <c r="B7" s="18">
        <v>3746000000</v>
      </c>
      <c r="C7" s="18">
        <v>3609000000</v>
      </c>
      <c r="D7" s="18">
        <v>3366000000</v>
      </c>
      <c r="E7" s="18">
        <v>3188000000</v>
      </c>
      <c r="F7" s="8" t="s">
        <v>87</v>
      </c>
    </row>
    <row r="8" spans="1:6" x14ac:dyDescent="0.25">
      <c r="A8" t="s">
        <v>88</v>
      </c>
      <c r="B8" s="18">
        <v>3685000000</v>
      </c>
      <c r="C8" s="18">
        <v>3909000000</v>
      </c>
      <c r="D8" s="18">
        <v>5158000000</v>
      </c>
      <c r="E8" s="18">
        <v>4769000000</v>
      </c>
      <c r="F8" s="8" t="s">
        <v>89</v>
      </c>
    </row>
    <row r="9" spans="1:6" x14ac:dyDescent="0.25">
      <c r="A9" t="s">
        <v>90</v>
      </c>
      <c r="B9" s="18">
        <v>997000000</v>
      </c>
      <c r="C9" s="18">
        <v>-256000000</v>
      </c>
      <c r="D9" s="18">
        <v>372000000</v>
      </c>
      <c r="E9" s="18">
        <v>369000000</v>
      </c>
      <c r="F9" s="8" t="s">
        <v>91</v>
      </c>
    </row>
    <row r="10" spans="1:6" x14ac:dyDescent="0.25">
      <c r="A10" t="s">
        <v>92</v>
      </c>
      <c r="B10" s="18">
        <v>28590000000</v>
      </c>
      <c r="C10" s="18">
        <v>25652000000</v>
      </c>
      <c r="D10" s="18">
        <v>26729000000</v>
      </c>
      <c r="E10" s="18">
        <v>23521000000</v>
      </c>
      <c r="F10" s="8" t="s">
        <v>93</v>
      </c>
    </row>
    <row r="11" spans="1:6" x14ac:dyDescent="0.25">
      <c r="A11" t="s">
        <v>94</v>
      </c>
      <c r="B11" s="18">
        <v>5887000000</v>
      </c>
      <c r="C11" s="18">
        <v>6112000000</v>
      </c>
      <c r="D11" s="18">
        <v>6035000000</v>
      </c>
      <c r="E11" s="18">
        <v>7595000000</v>
      </c>
      <c r="F11" s="8" t="s">
        <v>95</v>
      </c>
    </row>
    <row r="12" spans="1:6" x14ac:dyDescent="0.25">
      <c r="A12" t="s">
        <v>32</v>
      </c>
      <c r="B12" s="34">
        <v>850000000</v>
      </c>
      <c r="C12" s="34">
        <v>856000000</v>
      </c>
      <c r="D12" s="34">
        <v>860000000</v>
      </c>
      <c r="E12" s="34">
        <v>875000000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