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<sst xmlns="http://schemas.openxmlformats.org/spreadsheetml/2006/main" count="120" uniqueCount="107">
  <si>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United Parcel Service, Inc. (UPS)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</si>
  <si>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</si>
  <si>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</si>
  <si>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</si>
  <si>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</si>
  <si>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</si>
  <si>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</si>
  <si>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</si>
  <si>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</si>
  <si>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</si>
  <si>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</si>
  <si>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</si>
  <si>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</si>
  <si>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</si>
  <si>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</si>
  <si>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</si>
  <si>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</si>
  <si>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</si>
  <si>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</si>
  <si>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</si>
  <si>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</si>
  <si>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</si>
  <si>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</si>
  <si>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</si>
  <si>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7.7x interest cover. Book interest / average debt was lower, at 3.7%.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</si>
  <si>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</si>
  <si>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</si>
  <si>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</si>
  <si>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</si>
  <si>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</si>
  <si>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</si>
  <si>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</si>
  <si>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</si>
  <si>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</si>
  <si>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</si>
  <si>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</si>
  <si>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</si>
  <si>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</si>
  <si>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</si>
  <si>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</si>
  <si>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</si>
  <si>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</si>
  <si>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</si>
  <si>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</si>
  <si>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</si>
  <si>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</si>
  <si>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</si>
  <si>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</si>
  <si>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</si>
  <si>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</si>
  <si>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</si>
  <si>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</si>
  <si>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</si>
  <si>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</si>
  <si>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</si>
  <si>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</si>
  <si>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</si>
  <si>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</si>
  <si>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</si>
  <si>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</si>
  <si>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</si>
  <si>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</si>
  <si>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</si>
  <si>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</si>
  <si>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</si>
  <si>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</si>
  <si>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</si>
  <si>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</si>
  <si>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</si>
  <si>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</si>
  <si>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</si>
  <si>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</si>
  <si>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</si>
  <si>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</si>
  <si>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</si>
  <si>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</si>
  <si>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</si>
  <si>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</si>
  <si>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</si>
  <si>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</si>
  <si>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</si>
  <si>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</si>
  <si>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</si>
  <si>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</si>
  <si>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</si>
  <si>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</si>
  <si>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</si>
  <si>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</si>
  <si>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</si>
  <si>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</si>
  <si>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</si>
  <si>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</si>
  <si>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</si>
  <si>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</si>
  <si>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</si>
  <si>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</si>
  <si>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</si>
  <si>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</si>
  <si>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</si>
  <si>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</si>
  <si>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</si>
  <si>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</si>
  <si>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</si>
  <si>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</si>
  <si>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</si>
  <si>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4.7% of revenue against depreciation of 3.8%.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</si>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</sst>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0.04432838982190601</v>
      </c>
    </row>
    <row r="7" spans="1:2" x14ac:dyDescent="0.25">
      <c r="A7" t="s">
        <v>4</v>
      </c>
      <c r="B7" s="5">
        <v>0.10317762509318694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0.03766459419264717</v>
      </c>
    </row>
    <row r="10" spans="1:3" x14ac:dyDescent="0.25">
      <c r="A10" t="s">
        <v>7</v>
      </c>
      <c r="B10" s="5">
        <v>0.04718066876326119</v>
      </c>
      <c r="C10" s="6" t="s">
        <v>8</v>
      </c>
    </row>
    <row r="11" spans="1:2" x14ac:dyDescent="0.25">
      <c r="A11" t="s">
        <v>9</v>
      </c>
      <c r="B11" s="5">
        <v>0.059658385954466694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9.885481944717128</v>
      </c>
    </row>
    <row r="14" spans="1:3" x14ac:dyDescent="0.25">
      <c r="A14" t="s">
        <v>12</v>
      </c>
      <c r="B14" s="5">
        <v>0.17926629321492557</v>
      </c>
      <c r="C14" s="6" t="s">
        <v>13</v>
      </c>
    </row>
    <row r="15" spans="1:3" x14ac:dyDescent="0.25">
      <c r="A15" t="s">
        <v>14</v>
      </c>
      <c r="B15" s="5">
        <v>0.03766459419264717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1.03082</v>
      </c>
      <c r="C19" s="6" t="s">
        <v>21</v>
      </c>
    </row>
    <row r="20" spans="1:2" x14ac:dyDescent="0.25">
      <c r="A20" t="s">
        <v>22</v>
      </c>
      <c r="B20" s="9">
        <f>B17+B19*B18</f>
        <v>0.09254368600000001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92097101824</v>
      </c>
    </row>
    <row r="23" spans="1:2" x14ac:dyDescent="0.25">
      <c r="A23" t="s">
        <v>26</v>
      </c>
      <c r="B23" s="10">
        <v>28590000000</v>
      </c>
    </row>
    <row r="24" spans="1:2" x14ac:dyDescent="0.25">
      <c r="A24" t="s">
        <v>27</v>
      </c>
      <c r="B24" s="9">
        <f>B22/(B22+B23)</f>
        <v>0.7631064167760588</v>
      </c>
    </row>
    <row r="25" spans="1:2" x14ac:dyDescent="0.25">
      <c r="A25" t="s">
        <v>28</v>
      </c>
      <c r="B25" s="9">
        <f>1-B24</f>
        <v>0.23689358322394116</v>
      </c>
    </row>
    <row r="26" spans="1:2" x14ac:dyDescent="0.25">
      <c r="A26" t="s">
        <v>29</v>
      </c>
      <c r="B26" s="11">
        <f>B24*B20+B25*B21*(1-B8)</f>
        <v>0.08080890508857069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88661000000</v>
      </c>
      <c r="C29" s="6" t="s">
        <v>32</v>
      </c>
    </row>
    <row r="30" spans="1:2" x14ac:dyDescent="0.25">
      <c r="A30" t="s">
        <v>33</v>
      </c>
      <c r="B30" s="10">
        <v>22703000000</v>
      </c>
    </row>
    <row r="31" spans="1:2" x14ac:dyDescent="0.25">
      <c r="A31" t="s">
        <v>34</v>
      </c>
      <c r="B31" s="12">
        <v>850000000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0.04432838982190601</v>
      </c>
      <c r="C5" s="5">
        <v>0.032982286770004476</v>
      </c>
      <c r="D5" s="5">
        <v>0.03198450092375392</v>
      </c>
      <c r="E5" s="5">
        <v>0.030986715077503356</v>
      </c>
      <c r="F5" s="5">
        <v>0.0299889292312528</v>
      </c>
      <c r="G5" s="5">
        <v>0.02899114338500224</v>
      </c>
      <c r="H5" s="5">
        <v>0.02799335753875168</v>
      </c>
      <c r="I5" s="5">
        <v>0.026995571692501122</v>
      </c>
      <c r="J5" s="5">
        <v>0.02599778584625056</v>
      </c>
      <c r="K5" s="5">
        <v>0.025</v>
      </c>
    </row>
    <row r="6" spans="1:11" x14ac:dyDescent="0.25">
      <c r="A6" t="s">
        <v>50</v>
      </c>
      <c r="B6" s="18">
        <f>Assumptions!B29*(1+B5)</f>
        <v>92591199370.00002</v>
      </c>
      <c r="C6" s="18">
        <f>B6*(1+C5)</f>
        <v>95645068860.00002</v>
      </c>
      <c r="D6" s="18">
        <f>C6*(1+D5)</f>
        <v>98704228653.30519</v>
      </c>
      <c r="E6" s="18">
        <f>D6*(1+E5)</f>
        <v>101762748463.5299</v>
      </c>
      <c r="F6" s="18">
        <f>E6*(1+F5)</f>
        <v>104814504325.58047</v>
      </c>
      <c r="G6" s="18">
        <f>F6*(1+G5)</f>
        <v>107853196649.31133</v>
      </c>
      <c r="H6" s="18">
        <f>G6*(1+H5)</f>
        <v>110872369744.81279</v>
      </c>
      <c r="I6" s="18">
        <f>H6*(1+I5)</f>
        <v>113865432750.97638</v>
      </c>
      <c r="J6" s="18">
        <f>I6*(1+J5)</f>
        <v>116825681886.92691</v>
      </c>
      <c r="K6" s="18">
        <f>J6*(1+K5)</f>
        <v>119746323934.10007</v>
      </c>
    </row>
    <row r="7" spans="1:11" x14ac:dyDescent="0.25">
      <c r="A7" t="s">
        <v>4</v>
      </c>
      <c r="B7" s="9">
        <f>Assumptions!B7</f>
        <v>0.10317762509318694</v>
      </c>
      <c r="C7" s="9">
        <f>Assumptions!B7</f>
        <v>0.10317762509318694</v>
      </c>
      <c r="D7" s="9">
        <f>Assumptions!B7</f>
        <v>0.10317762509318694</v>
      </c>
      <c r="E7" s="9">
        <f>Assumptions!B7</f>
        <v>0.10317762509318694</v>
      </c>
      <c r="F7" s="9">
        <f>Assumptions!B7</f>
        <v>0.10317762509318694</v>
      </c>
      <c r="G7" s="9">
        <f>Assumptions!B7</f>
        <v>0.10317762509318694</v>
      </c>
      <c r="H7" s="9">
        <f>Assumptions!B7</f>
        <v>0.10317762509318694</v>
      </c>
      <c r="I7" s="9">
        <f>Assumptions!B7</f>
        <v>0.10317762509318694</v>
      </c>
      <c r="J7" s="9">
        <f>Assumptions!B7</f>
        <v>0.10317762509318694</v>
      </c>
      <c r="K7" s="9">
        <f>Assumptions!B7</f>
        <v>0.10317762509318694</v>
      </c>
    </row>
    <row r="8" spans="1:11" x14ac:dyDescent="0.25">
      <c r="A8" t="s">
        <v>51</v>
      </c>
      <c r="B8" s="18">
        <f>B6*B7</f>
        <v>9553340055.526388</v>
      </c>
      <c r="C8" s="18">
        <f>C6*C7</f>
        <v>9868431056.84913</v>
      </c>
      <c r="D8" s="18">
        <f>D6*D7</f>
        <v>10184067899.102922</v>
      </c>
      <c r="E8" s="18">
        <f>E6*E7</f>
        <v>10499638709.422375</v>
      </c>
      <c r="F8" s="18">
        <f>F6*F7</f>
        <v>10814511631.632963</v>
      </c>
      <c r="G8" s="18">
        <f>G6*G7</f>
        <v>11128036688.98441</v>
      </c>
      <c r="H8" s="18">
        <f>H6*H7</f>
        <v>11439547798.723497</v>
      </c>
      <c r="I8" s="18">
        <f>I6*I7</f>
        <v>11748364931.45373</v>
      </c>
      <c r="J8" s="18">
        <f>J6*J7</f>
        <v>12053796406.985266</v>
      </c>
      <c r="K8" s="18">
        <f>K6*K7</f>
        <v>12355141317.159895</v>
      </c>
    </row>
    <row r="9" spans="1:11" x14ac:dyDescent="0.25">
      <c r="A9" t="s">
        <v>52</v>
      </c>
      <c r="B9" s="18">
        <f>B8*(1-Assumptions!B8)</f>
        <v>7547138643.865847</v>
      </c>
      <c r="C9" s="18">
        <f>C8*(1-Assumptions!B8)</f>
        <v>7796060534.910813</v>
      </c>
      <c r="D9" s="18">
        <f>D8*(1-Assumptions!B8)</f>
        <v>8045413640.291309</v>
      </c>
      <c r="E9" s="18">
        <f>E8*(1-Assumptions!B8)</f>
        <v>8294714580.443676</v>
      </c>
      <c r="F9" s="18">
        <f>F8*(1-Assumptions!B8)</f>
        <v>8543464188.990042</v>
      </c>
      <c r="G9" s="18">
        <f>G8*(1-Assumptions!B8)</f>
        <v>8791148984.297684</v>
      </c>
      <c r="H9" s="18">
        <f>H8*(1-Assumptions!B8)</f>
        <v>9037242760.991564</v>
      </c>
      <c r="I9" s="18">
        <f>I8*(1-Assumptions!B8)</f>
        <v>9281208295.848446</v>
      </c>
      <c r="J9" s="18">
        <f>J8*(1-Assumptions!B8)</f>
        <v>9522499161.51836</v>
      </c>
      <c r="K9" s="18">
        <f>K8*(1-Assumptions!B8)</f>
        <v>9760561640.556318</v>
      </c>
    </row>
    <row r="10" spans="1:11" x14ac:dyDescent="0.25">
      <c r="A10" t="s">
        <v>53</v>
      </c>
      <c r="B10" s="18">
        <f>B6*Assumptions!B9</f>
        <v>3487409950.081539</v>
      </c>
      <c r="C10" s="18">
        <f>C6*Assumptions!B9</f>
        <v>3602432705.1396956</v>
      </c>
      <c r="D10" s="18">
        <f>D6*Assumptions!B9</f>
        <v>3717654717.3249974</v>
      </c>
      <c r="E10" s="18">
        <f>E6*Assumptions!B9</f>
        <v>3832852624.8072834</v>
      </c>
      <c r="F10" s="18">
        <f>F6*Assumptions!B9</f>
        <v>3947795770.9264503</v>
      </c>
      <c r="G10" s="18">
        <f>G6*Assumptions!B9</f>
        <v>4062246884.1760845</v>
      </c>
      <c r="H10" s="18">
        <f>H6*Assumptions!B9</f>
        <v>4175962813.6155057</v>
      </c>
      <c r="I10" s="18">
        <f>I6*Assumptions!B9</f>
        <v>4288695317.135682</v>
      </c>
      <c r="J10" s="18">
        <f>J6*Assumptions!B9</f>
        <v>4400191899.550393</v>
      </c>
      <c r="K10" s="18">
        <f>K6*Assumptions!B9</f>
        <v>4510196697.039152</v>
      </c>
    </row>
    <row r="11" spans="1:11" x14ac:dyDescent="0.25">
      <c r="A11" t="s">
        <v>54</v>
      </c>
      <c r="B11" s="18">
        <f>-B6*B19</f>
        <v>-4368514707.869049</v>
      </c>
      <c r="C11" s="18">
        <f>-C6*C19</f>
        <v>-4532270783.784127</v>
      </c>
      <c r="D11" s="18">
        <f>-D6*D19</f>
        <v>-4697534888.084761</v>
      </c>
      <c r="E11" s="18">
        <f>-E6*E19</f>
        <v>-4864026830.994276</v>
      </c>
      <c r="F11" s="18">
        <f>-F6*F19</f>
        <v>-5031452246.486964</v>
      </c>
      <c r="G11" s="18">
        <f>-G6*G19</f>
        <v>-5199503263.4570675</v>
      </c>
      <c r="H11" s="18">
        <f>-H6*H19</f>
        <v>-5367859270.416347</v>
      </c>
      <c r="I11" s="18">
        <f>-I6*I19</f>
        <v>-5536187772.515614</v>
      </c>
      <c r="J11" s="18">
        <f>-J6*J19</f>
        <v>-5704145338.984518</v>
      </c>
      <c r="K11" s="18">
        <f>-K6*K19</f>
        <v>-5871378638.372402</v>
      </c>
    </row>
    <row r="12" spans="1:11" x14ac:dyDescent="0.25">
      <c r="A12" t="s">
        <v>55</v>
      </c>
      <c r="B12" s="18">
        <f>-(B6-Assumptions!B29)*Assumptions!B11</f>
        <v>-234469350.89346275</v>
      </c>
      <c r="C12" s="18">
        <f>-(C6-B6)*Assumptions!B11</f>
        <v>-182188924.68899035</v>
      </c>
      <c r="D12" s="18">
        <f>-(D6-C6)*Assumptions!B11</f>
        <v>-182504535.64538673</v>
      </c>
      <c r="E12" s="18">
        <f>-(E6-D6)*Assumptions!B11</f>
        <v>-182466355.28776833</v>
      </c>
      <c r="F12" s="18">
        <f>-(F6-E6)*Assumptions!B11</f>
        <v>-182062829.057019</v>
      </c>
      <c r="G12" s="18">
        <f>-(G6-F6)*Assumptions!B11</f>
        <v>-181283479.44601032</v>
      </c>
      <c r="H12" s="18">
        <f>-(H6-G6)*Assumptions!B11</f>
        <v>-180118993.79476833</v>
      </c>
      <c r="I12" s="18">
        <f>-(I6-H6)*Assumptions!B11</f>
        <v>-178561308.00774375</v>
      </c>
      <c r="J12" s="18">
        <f>-(J6-I6)*Assumptions!B11</f>
        <v>-176603685.47391334</v>
      </c>
      <c r="K12" s="18">
        <f>-(K6-J6)*Assumptions!B11</f>
        <v>-174240790.4850999</v>
      </c>
    </row>
    <row r="13" spans="1:11" x14ac:dyDescent="0.25">
      <c r="A13" s="19" t="s">
        <v>56</v>
      </c>
      <c r="B13" s="20">
        <f>B9+B10+B11+B12</f>
        <v>6431564535.184874</v>
      </c>
      <c r="C13" s="20">
        <f>C9+C10+C11+C12</f>
        <v>6684033531.577391</v>
      </c>
      <c r="D13" s="20">
        <f>D9+D10+D11+D12</f>
        <v>6883028933.886159</v>
      </c>
      <c r="E13" s="20">
        <f>E9+E10+E11+E12</f>
        <v>7081074018.968915</v>
      </c>
      <c r="F13" s="20">
        <f>F9+F10+F11+F12</f>
        <v>7277744884.372509</v>
      </c>
      <c r="G13" s="20">
        <f>G9+G10+G11+G12</f>
        <v>7472609125.57069</v>
      </c>
      <c r="H13" s="20">
        <f>H9+H10+H11+H12</f>
        <v>7665227310.395954</v>
      </c>
      <c r="I13" s="20">
        <f>I9+I10+I11+I12</f>
        <v>7855154532.46077</v>
      </c>
      <c r="J13" s="20">
        <f>J9+J10+J11+J12</f>
        <v>8041942036.610321</v>
      </c>
      <c r="K13" s="20">
        <f>K9+K10+K11+K12</f>
        <v>8225138908.737968</v>
      </c>
    </row>
    <row r="14" spans="1:11" x14ac:dyDescent="0.25">
      <c r="A14" t="s">
        <v>57</v>
      </c>
      <c r="B14" s="21">
        <f>1/(1+Assumptions!$B$26)^(1-0.5*Assumptions!$B$32)</f>
        <v>0.9618902947992679</v>
      </c>
      <c r="C14" s="21">
        <f>1/(1+Assumptions!$B$26)^(2-0.5*Assumptions!$B$32)</f>
        <v>0.8899725846729977</v>
      </c>
      <c r="D14" s="21">
        <f>1/(1+Assumptions!$B$26)^(3-0.5*Assumptions!$B$32)</f>
        <v>0.8234319503502479</v>
      </c>
      <c r="E14" s="21">
        <f>1/(1+Assumptions!$B$26)^(4-0.5*Assumptions!$B$32)</f>
        <v>0.7618663636776464</v>
      </c>
      <c r="F14" s="21">
        <f>1/(1+Assumptions!$B$26)^(5-0.5*Assumptions!$B$32)</f>
        <v>0.7049038549651961</v>
      </c>
      <c r="G14" s="21">
        <f>1/(1+Assumptions!$B$26)^(6-0.5*Assumptions!$B$32)</f>
        <v>0.6522002656033171</v>
      </c>
      <c r="H14" s="21">
        <f>1/(1+Assumptions!$B$26)^(7-0.5*Assumptions!$B$32)</f>
        <v>0.6034371687101063</v>
      </c>
      <c r="I14" s="21">
        <f>1/(1+Assumptions!$B$26)^(8-0.5*Assumptions!$B$32)</f>
        <v>0.5583199452456912</v>
      </c>
      <c r="J14" s="21">
        <f>1/(1+Assumptions!$B$26)^(9-0.5*Assumptions!$B$32)</f>
        <v>0.5165760039698578</v>
      </c>
      <c r="K14" s="21">
        <f>1/(1+Assumptions!$B$26)^(10-0.5*Assumptions!$B$32)</f>
        <v>0.47795313448821475</v>
      </c>
    </row>
    <row r="15" spans="1:11" x14ac:dyDescent="0.25">
      <c r="A15" s="19" t="s">
        <v>58</v>
      </c>
      <c r="B15" s="20">
        <f>B13*B14</f>
        <v>6186459506.769494</v>
      </c>
      <c r="C15" s="20">
        <f>C13*C14</f>
        <v>5948606598.138915</v>
      </c>
      <c r="D15" s="20">
        <f>D13*D14</f>
        <v>5667705939.347067</v>
      </c>
      <c r="E15" s="20">
        <f>E13*E14</f>
        <v>5394832113.764105</v>
      </c>
      <c r="F15" s="20">
        <f>F13*F14</f>
        <v>5130110424.447417</v>
      </c>
      <c r="G15" s="20">
        <f>G13*G14</f>
        <v>4873637656.446976</v>
      </c>
      <c r="H15" s="20">
        <f>H13*H14</f>
        <v>4625483065.704718</v>
      </c>
      <c r="I15" s="20">
        <f>I13*I14</f>
        <v>4385689448.45994</v>
      </c>
      <c r="J15" s="20">
        <f>J13*J14</f>
        <v>4154274281.4293795</v>
      </c>
      <c r="K15" s="20">
        <f>K13*K14</f>
        <v>3931230923.032286</v>
      </c>
    </row>
    <row r="17" spans="1:2" x14ac:dyDescent="0.25">
      <c r="A17" s="22" t="s">
        <v>59</v>
      </c>
      <c r="B17" s="23">
        <f>SUM(B15:K15)</f>
        <v>50298029957.540306</v>
      </c>
    </row>
    <row r="19" spans="1:11" x14ac:dyDescent="0.25">
      <c r="A19" t="s">
        <v>7</v>
      </c>
      <c r="B19" s="9">
        <f>Assumptions!$B$10+($B$20-Assumptions!$B$10)*0/9</f>
        <v>0.04718066876326119</v>
      </c>
      <c r="C19" s="9">
        <f>Assumptions!$B$10+($B$20-Assumptions!$B$10)*1/9</f>
        <v>0.04738635078425439</v>
      </c>
      <c r="D19" s="9">
        <f>Assumptions!$B$10+($B$20-Assumptions!$B$10)*2/9</f>
        <v>0.0475920328052476</v>
      </c>
      <c r="E19" s="9">
        <f>Assumptions!$B$10+($B$20-Assumptions!$B$10)*3/9</f>
        <v>0.047797714826240796</v>
      </c>
      <c r="F19" s="9">
        <f>Assumptions!$B$10+($B$20-Assumptions!$B$10)*4/9</f>
        <v>0.048003396847234</v>
      </c>
      <c r="G19" s="9">
        <f>Assumptions!$B$10+($B$20-Assumptions!$B$10)*5/9</f>
        <v>0.0482090788682272</v>
      </c>
      <c r="H19" s="9">
        <f>Assumptions!$B$10+($B$20-Assumptions!$B$10)*6/9</f>
        <v>0.04841476088922041</v>
      </c>
      <c r="I19" s="9">
        <f>Assumptions!$B$10+($B$20-Assumptions!$B$10)*7/9</f>
        <v>0.048620442910213606</v>
      </c>
      <c r="J19" s="9">
        <f>Assumptions!$B$10+($B$20-Assumptions!$B$10)*8/9</f>
        <v>0.04882612493120681</v>
      </c>
      <c r="K19" s="9">
        <f>Assumptions!$B$10+($B$20-Assumptions!$B$10)*9/9</f>
        <v>0.04903180695220001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0.04903180695220001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8225138908.737968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9760561640.556318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0.13945733774964073</v>
      </c>
    </row>
    <row r="7" spans="1:2" x14ac:dyDescent="0.25">
      <c r="A7" t="s">
        <v>66</v>
      </c>
      <c r="B7" s="18">
        <f>-MAX(B5,0)*B6</f>
        <v>-1361181941.3332498</v>
      </c>
    </row>
    <row r="8" spans="1:2" x14ac:dyDescent="0.25">
      <c r="A8" t="s">
        <v>67</v>
      </c>
      <c r="B8" s="18">
        <f>IF(OR(Assumptions!$B$33=0,Assumptions!B12&lt;=0),B5,MAX(B5+B7,0))</f>
        <v>8399379699.223068</v>
      </c>
    </row>
    <row r="9" spans="1:2" x14ac:dyDescent="0.25">
      <c r="A9" t="s">
        <v>68</v>
      </c>
      <c r="B9" s="18">
        <f>B8*(1+Assumptions!B12)/(Assumptions!B26-Assumptions!B12)</f>
        <v>154265061786.11246</v>
      </c>
    </row>
    <row r="10" spans="1:2" x14ac:dyDescent="0.25">
      <c r="A10" t="s">
        <v>69</v>
      </c>
      <c r="B10" s="18">
        <f>B9/(1+Assumptions!B26)^(10-0.5*Assumptions!B32)</f>
        <v>73731469822.69057</v>
      </c>
    </row>
    <row r="11" spans="1:2" x14ac:dyDescent="0.25">
      <c r="A11" t="s">
        <v>70</v>
      </c>
      <c r="B11" s="18">
        <f>Forecast!B17+B10</f>
        <v>124029499780.23087</v>
      </c>
    </row>
    <row r="12" spans="1:2" x14ac:dyDescent="0.25">
      <c r="A12" t="s">
        <v>71</v>
      </c>
      <c r="B12" s="18">
        <f>-Assumptions!B30</f>
        <v>-22703000000</v>
      </c>
    </row>
    <row r="13" spans="1:2" x14ac:dyDescent="0.25">
      <c r="A13" t="s">
        <v>72</v>
      </c>
      <c r="B13" s="18">
        <f>B11+B12</f>
        <v>101326499780.23087</v>
      </c>
    </row>
    <row r="14" spans="1:2" x14ac:dyDescent="0.25">
      <c r="A14" s="19" t="s">
        <v>73</v>
      </c>
      <c r="B14" s="24">
        <f>B13/Assumptions!B31</f>
        <v>119.2076468002716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16865338014.199047</v>
      </c>
    </row>
    <row r="18" spans="1:2" x14ac:dyDescent="0.25">
      <c r="A18" t="s">
        <v>68</v>
      </c>
      <c r="B18" s="18">
        <f>B17*Assumptions!B13</f>
        <v>166721994430.9161</v>
      </c>
    </row>
    <row r="19" spans="1:2" x14ac:dyDescent="0.25">
      <c r="A19" t="s">
        <v>69</v>
      </c>
      <c r="B19" s="18">
        <f>B18/(1+Assumptions!B26)^(10-0.5*Assumptions!B32)</f>
        <v>79685299826.38304</v>
      </c>
    </row>
    <row r="20" spans="1:2" x14ac:dyDescent="0.25">
      <c r="A20" t="s">
        <v>70</v>
      </c>
      <c r="B20" s="18">
        <f>Forecast!B17+B19</f>
        <v>129983329783.92334</v>
      </c>
    </row>
    <row r="21" spans="1:2" x14ac:dyDescent="0.25">
      <c r="A21" t="s">
        <v>71</v>
      </c>
      <c r="B21" s="18">
        <f>-Assumptions!B30</f>
        <v>-22703000000</v>
      </c>
    </row>
    <row r="22" spans="1:2" x14ac:dyDescent="0.25">
      <c r="A22" t="s">
        <v>72</v>
      </c>
      <c r="B22" s="18">
        <f>B20+B21</f>
        <v>107280329783.92334</v>
      </c>
    </row>
    <row r="23" spans="1:2" x14ac:dyDescent="0.25">
      <c r="A23" s="19" t="s">
        <v>73</v>
      </c>
      <c r="B23" s="25">
        <f>B22/Assumptions!B31</f>
        <v>126.21215268696864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108.25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119.2076468002716</v>
      </c>
    </row>
    <row r="29" spans="1:2" x14ac:dyDescent="0.25">
      <c r="A29" s="19" t="s">
        <v>81</v>
      </c>
      <c r="B29" s="11">
        <f>B28/B26-1</f>
        <v>0.10122537459835201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0.060809</v>
      </c>
      <c r="B5" s="31">
        <v>172.91142209912312</v>
      </c>
      <c r="C5" s="31">
        <v>184.38221582285888</v>
      </c>
      <c r="D5" s="31">
        <v>199.2844299788119</v>
      </c>
      <c r="E5" s="31">
        <v>219.28872270204866</v>
      </c>
      <c r="F5" s="31">
        <v>247.36038433738122</v>
      </c>
    </row>
    <row r="6" spans="1:6" x14ac:dyDescent="0.25">
      <c r="A6" s="30">
        <v>0.070809</v>
      </c>
      <c r="B6" s="31">
        <v>136.8492902631314</v>
      </c>
      <c r="C6" s="31">
        <v>142.92580267594317</v>
      </c>
      <c r="D6" s="31">
        <v>150.4973047957575</v>
      </c>
      <c r="E6" s="31">
        <v>160.113303976468</v>
      </c>
      <c r="F6" s="31">
        <v>172.63021776431833</v>
      </c>
    </row>
    <row r="7" spans="1:6" x14ac:dyDescent="0.25">
      <c r="A7" s="30">
        <v>0.080809</v>
      </c>
      <c r="B7" s="31">
        <v>111.79707390909388</v>
      </c>
      <c r="C7" s="31">
        <v>115.1375503492632</v>
      </c>
      <c r="D7" s="32">
        <v>119.20740309550163</v>
      </c>
      <c r="E7" s="31">
        <v>124.22196101850223</v>
      </c>
      <c r="F7" s="31">
        <v>130.49056458960098</v>
      </c>
    </row>
    <row r="8" spans="1:6" x14ac:dyDescent="0.25">
      <c r="A8" s="30">
        <v>0.090809</v>
      </c>
      <c r="B8" s="31">
        <v>93.39409659956061</v>
      </c>
      <c r="C8" s="31">
        <v>95.22401189678482</v>
      </c>
      <c r="D8" s="31">
        <v>97.43701851882525</v>
      </c>
      <c r="E8" s="31">
        <v>100.12761513976392</v>
      </c>
      <c r="F8" s="31">
        <v>103.42416546408336</v>
      </c>
    </row>
    <row r="9" spans="1:6" x14ac:dyDescent="0.25">
      <c r="A9" s="30">
        <v>0.100809</v>
      </c>
      <c r="B9" s="31">
        <v>79.31272739660419</v>
      </c>
      <c r="C9" s="31">
        <v>80.25968698033903</v>
      </c>
      <c r="D9" s="31">
        <v>81.4179446045982</v>
      </c>
      <c r="E9" s="31">
        <v>82.83226111345331</v>
      </c>
      <c r="F9" s="31">
        <v>84.56100061012633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88661000000</v>
      </c>
      <c r="C5" s="18">
        <v>91070000000</v>
      </c>
      <c r="D5" s="18">
        <v>90958000000</v>
      </c>
      <c r="E5" s="18">
        <v>100338000000</v>
      </c>
      <c r="F5" s="6" t="s">
        <v>91</v>
      </c>
    </row>
    <row r="6" spans="1:6" x14ac:dyDescent="0.25">
      <c r="A6" t="s">
        <v>51</v>
      </c>
      <c r="B6" s="18">
        <v>7867000000</v>
      </c>
      <c r="C6" s="18">
        <v>8468000000</v>
      </c>
      <c r="D6" s="18">
        <v>9141000000</v>
      </c>
      <c r="E6" s="18">
        <v>13094000000</v>
      </c>
      <c r="F6" s="6" t="s">
        <v>92</v>
      </c>
    </row>
    <row r="7" spans="1:6" x14ac:dyDescent="0.25">
      <c r="A7" t="s">
        <v>93</v>
      </c>
      <c r="B7" s="18">
        <v>3746000000</v>
      </c>
      <c r="C7" s="18">
        <v>3609000000</v>
      </c>
      <c r="D7" s="18">
        <v>3366000000</v>
      </c>
      <c r="E7" s="18">
        <v>3188000000</v>
      </c>
      <c r="F7" s="6" t="s">
        <v>94</v>
      </c>
    </row>
    <row r="8" spans="1:6" x14ac:dyDescent="0.25">
      <c r="A8" t="s">
        <v>95</v>
      </c>
      <c r="B8" s="18">
        <v>3685000000</v>
      </c>
      <c r="C8" s="18">
        <v>3909000000</v>
      </c>
      <c r="D8" s="18">
        <v>5158000000</v>
      </c>
      <c r="E8" s="18">
        <v>4769000000</v>
      </c>
      <c r="F8" s="6" t="s">
        <v>96</v>
      </c>
    </row>
    <row r="9" spans="1:6" x14ac:dyDescent="0.25">
      <c r="A9" t="s">
        <v>97</v>
      </c>
      <c r="B9" s="18">
        <v>997000000</v>
      </c>
      <c r="C9" s="18">
        <v>-256000000</v>
      </c>
      <c r="D9" s="18">
        <v>372000000</v>
      </c>
      <c r="E9" s="18">
        <v>369000000</v>
      </c>
      <c r="F9" s="6" t="s">
        <v>98</v>
      </c>
    </row>
    <row r="10" spans="1:6" x14ac:dyDescent="0.25">
      <c r="A10" t="s">
        <v>99</v>
      </c>
      <c r="B10" s="18">
        <v>28590000000</v>
      </c>
      <c r="C10" s="18">
        <v>25652000000</v>
      </c>
      <c r="D10" s="18">
        <v>26729000000</v>
      </c>
      <c r="E10" s="18">
        <v>23521000000</v>
      </c>
      <c r="F10" s="6" t="s">
        <v>100</v>
      </c>
    </row>
    <row r="11" spans="1:6" x14ac:dyDescent="0.25">
      <c r="A11" t="s">
        <v>101</v>
      </c>
      <c r="B11" s="18">
        <v>5887000000</v>
      </c>
      <c r="C11" s="18">
        <v>6112000000</v>
      </c>
      <c r="D11" s="18">
        <v>6035000000</v>
      </c>
      <c r="E11" s="18">
        <v>7595000000</v>
      </c>
      <c r="F11" s="6" t="s">
        <v>102</v>
      </c>
    </row>
    <row r="12" spans="1:6" x14ac:dyDescent="0.25">
      <c r="A12" t="s">
        <v>34</v>
      </c>
      <c r="B12" s="34">
        <v>850000000</v>
      </c>
      <c r="C12" s="34">
        <v>856000000</v>
      </c>
      <c r="D12" s="34">
        <v>860000000</v>
      </c>
      <c r="E12" s="34">
        <v>875000000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