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<sst xmlns="http://schemas.openxmlformats.org/spreadsheetml/2006/main" count="120" uniqueCount="107">
  <si>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United Rentals, Inc. (URI)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</si>
  <si>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</si>
  <si>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</si>
  <si>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</si>
  <si>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</si>
  <si>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</si>
  <si>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</si>
  <si>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</si>
  <si>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</si>
  <si>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</si>
  <si>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</si>
  <si>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</si>
  <si>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</si>
  <si>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</si>
  <si>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</si>
  <si>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</si>
  <si>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</si>
  <si>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</si>
  <si>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</si>
  <si>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</si>
  <si>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</si>
  <si>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</si>
  <si>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</si>
  <si>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</si>
  <si>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5.6x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</si>
  <si>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</si>
  <si>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</si>
  <si>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</si>
  <si>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</si>
  <si>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</si>
  <si>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</si>
  <si>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</si>
  <si>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</si>
  <si>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</si>
  <si>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</si>
  <si>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</si>
  <si>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</si>
  <si>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</si>
  <si>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</si>
  <si>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</si>
  <si>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</si>
  <si>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</si>
  <si>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</si>
  <si>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</si>
  <si>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</si>
  <si>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</si>
  <si>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</si>
  <si>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</si>
  <si>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</si>
  <si>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</si>
  <si>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</si>
  <si>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</si>
  <si>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</si>
  <si>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</si>
  <si>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</si>
  <si>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</si>
  <si>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</si>
  <si>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</si>
  <si>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</si>
  <si>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</si>
  <si>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</si>
  <si>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</si>
  <si>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</si>
  <si>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</si>
  <si>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</si>
  <si>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</si>
  <si>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</si>
  <si>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</si>
  <si>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</si>
  <si>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</si>
  <si>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</si>
  <si>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</si>
  <si>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</si>
  <si>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</si>
  <si>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</si>
  <si>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</si>
  <si>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</si>
  <si>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</si>
  <si>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</si>
  <si>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</si>
  <si>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</si>
  <si>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</si>
  <si>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</si>
  <si>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</si>
  <si>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</si>
  <si>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</si>
  <si>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</si>
  <si>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</si>
  <si>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</si>
  <si>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</si>
  <si>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</si>
  <si>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</si>
  <si>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</si>
  <si>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</si>
  <si>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</si>
  <si>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</si>
  <si>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</si>
  <si>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</si>
  <si>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</si>
  <si>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</si>
  <si>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</si>
  <si>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</si>
  <si>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</si>
  <si>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</si>
  <si>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</si>
  <si>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28.8% of revenue against depreciation of 19.2%.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</si>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</sst>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0.12366114417044538</v>
      </c>
    </row>
    <row r="7" spans="1:2" x14ac:dyDescent="0.25">
      <c r="A7" t="s">
        <v>4</v>
      </c>
      <c r="B7" s="5">
        <v>0.2646360772975632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0.19167752921536016</v>
      </c>
    </row>
    <row r="10" spans="1:3" x14ac:dyDescent="0.25">
      <c r="A10" t="s">
        <v>7</v>
      </c>
      <c r="B10" s="5">
        <v>0.2877857500262255</v>
      </c>
      <c r="C10" s="6" t="s">
        <v>8</v>
      </c>
    </row>
    <row r="11" spans="1:2" x14ac:dyDescent="0.25">
      <c r="A11" t="s">
        <v>9</v>
      </c>
      <c r="B11" s="5">
        <v>0.11232133985593423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12.424314930245693</v>
      </c>
    </row>
    <row r="14" spans="1:3" x14ac:dyDescent="0.25">
      <c r="A14" t="s">
        <v>12</v>
      </c>
      <c r="B14" s="5">
        <v>0.14220840300476162</v>
      </c>
      <c r="C14" s="6" t="s">
        <v>13</v>
      </c>
    </row>
    <row r="15" spans="1:3" x14ac:dyDescent="0.25">
      <c r="A15" t="s">
        <v>14</v>
      </c>
      <c r="B15" s="5">
        <v>0.19167752921536016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1.54136</v>
      </c>
      <c r="C19" s="6" t="s">
        <v>21</v>
      </c>
    </row>
    <row r="20" spans="1:2" x14ac:dyDescent="0.25">
      <c r="A20" t="s">
        <v>22</v>
      </c>
      <c r="B20" s="9">
        <f>B17+B19*B18</f>
        <v>0.11413952799999999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72777998336</v>
      </c>
    </row>
    <row r="23" spans="1:2" x14ac:dyDescent="0.25">
      <c r="A23" t="s">
        <v>26</v>
      </c>
      <c r="B23" s="10">
        <v>15670000000</v>
      </c>
    </row>
    <row r="24" spans="1:2" x14ac:dyDescent="0.25">
      <c r="A24" t="s">
        <v>27</v>
      </c>
      <c r="B24" s="9">
        <f>B22/(B22+B23)</f>
        <v>0.8228337520938332</v>
      </c>
    </row>
    <row r="25" spans="1:2" x14ac:dyDescent="0.25">
      <c r="A25" t="s">
        <v>28</v>
      </c>
      <c r="B25" s="9">
        <f>1-B24</f>
        <v>0.17716624790616675</v>
      </c>
    </row>
    <row r="26" spans="1:2" x14ac:dyDescent="0.25">
      <c r="A26" t="s">
        <v>29</v>
      </c>
      <c r="B26" s="11">
        <f>B24*B20+B25*B21*(1-B8)</f>
        <v>0.10174729321367719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16099000000</v>
      </c>
      <c r="C29" s="6" t="s">
        <v>32</v>
      </c>
    </row>
    <row r="30" spans="1:2" x14ac:dyDescent="0.25">
      <c r="A30" t="s">
        <v>33</v>
      </c>
      <c r="B30" s="10">
        <v>15211000000</v>
      </c>
    </row>
    <row r="31" spans="1:2" x14ac:dyDescent="0.25">
      <c r="A31" t="s">
        <v>34</v>
      </c>
      <c r="B31" s="12">
        <v>64604000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0.12366114417044538</v>
      </c>
      <c r="C5" s="5">
        <v>0.10418552206815779</v>
      </c>
      <c r="D5" s="5">
        <v>0.09428733180963807</v>
      </c>
      <c r="E5" s="5">
        <v>0.08438914155111835</v>
      </c>
      <c r="F5" s="5">
        <v>0.07449095129259861</v>
      </c>
      <c r="G5" s="5">
        <v>0.06459276103407889</v>
      </c>
      <c r="H5" s="5">
        <v>0.05469457077555917</v>
      </c>
      <c r="I5" s="5">
        <v>0.04479638051703944</v>
      </c>
      <c r="J5" s="5">
        <v>0.034898190258519715</v>
      </c>
      <c r="K5" s="5">
        <v>0.024999999999999994</v>
      </c>
    </row>
    <row r="6" spans="1:11" x14ac:dyDescent="0.25">
      <c r="A6" t="s">
        <v>50</v>
      </c>
      <c r="B6" s="18">
        <f>Assumptions!B29*(1+B5)</f>
        <v>18089820760</v>
      </c>
      <c r="C6" s="18">
        <f>B6*(1+C5)</f>
        <v>19974518180</v>
      </c>
      <c r="D6" s="18">
        <f>C6*(1+D5)</f>
        <v>21857862203.375305</v>
      </c>
      <c r="E6" s="18">
        <f>D6*(1+E5)</f>
        <v>23702428430.860786</v>
      </c>
      <c r="F6" s="18">
        <f>E6*(1+F5)</f>
        <v>25468044872.620342</v>
      </c>
      <c r="G6" s="18">
        <f>F6*(1+G5)</f>
        <v>27113096209.082706</v>
      </c>
      <c r="H6" s="18">
        <f>G6*(1+H5)</f>
        <v>28596035368.63493</v>
      </c>
      <c r="I6" s="18">
        <f>H6*(1+I5)</f>
        <v>29877034250.287018</v>
      </c>
      <c r="J6" s="18">
        <f>I6*(1+J5)</f>
        <v>30919688675.913845</v>
      </c>
      <c r="K6" s="18">
        <f>J6*(1+K5)</f>
        <v>31692680892.811687</v>
      </c>
    </row>
    <row r="7" spans="1:11" x14ac:dyDescent="0.25">
      <c r="A7" t="s">
        <v>4</v>
      </c>
      <c r="B7" s="9">
        <f>Assumptions!B7</f>
        <v>0.2646360772975632</v>
      </c>
      <c r="C7" s="9">
        <f>Assumptions!B7</f>
        <v>0.2646360772975632</v>
      </c>
      <c r="D7" s="9">
        <f>Assumptions!B7</f>
        <v>0.2646360772975632</v>
      </c>
      <c r="E7" s="9">
        <f>Assumptions!B7</f>
        <v>0.2646360772975632</v>
      </c>
      <c r="F7" s="9">
        <f>Assumptions!B7</f>
        <v>0.2646360772975632</v>
      </c>
      <c r="G7" s="9">
        <f>Assumptions!B7</f>
        <v>0.2646360772975632</v>
      </c>
      <c r="H7" s="9">
        <f>Assumptions!B7</f>
        <v>0.2646360772975632</v>
      </c>
      <c r="I7" s="9">
        <f>Assumptions!B7</f>
        <v>0.2646360772975632</v>
      </c>
      <c r="J7" s="9">
        <f>Assumptions!B7</f>
        <v>0.2646360772975632</v>
      </c>
      <c r="K7" s="9">
        <f>Assumptions!B7</f>
        <v>0.2646360772975632</v>
      </c>
    </row>
    <row r="8" spans="1:11" x14ac:dyDescent="0.25">
      <c r="A8" t="s">
        <v>51</v>
      </c>
      <c r="B8" s="18">
        <f>B6*B7</f>
        <v>4787219204.942424</v>
      </c>
      <c r="C8" s="18">
        <f>C6*C7</f>
        <v>5285978137.064062</v>
      </c>
      <c r="D8" s="18">
        <f>D6*D7</f>
        <v>5784378911.611913</v>
      </c>
      <c r="E8" s="18">
        <f>E6*E7</f>
        <v>6272517682.369235</v>
      </c>
      <c r="F8" s="18">
        <f>F6*F7</f>
        <v>6739763491.528565</v>
      </c>
      <c r="G8" s="18">
        <f>G6*G7</f>
        <v>7175103424.163079</v>
      </c>
      <c r="H8" s="18">
        <f>H6*H7</f>
        <v>7567542626.217925</v>
      </c>
      <c r="I8" s="18">
        <f>I6*I7</f>
        <v>7906541145.280899</v>
      </c>
      <c r="J8" s="18">
        <f>J6*J7</f>
        <v>8182465122.455727</v>
      </c>
      <c r="K8" s="18">
        <f>K6*K7</f>
        <v>8387026750.517118</v>
      </c>
    </row>
    <row r="9" spans="1:11" x14ac:dyDescent="0.25">
      <c r="A9" t="s">
        <v>52</v>
      </c>
      <c r="B9" s="18">
        <f>B8*(1-Assumptions!B8)</f>
        <v>3781903171.904515</v>
      </c>
      <c r="C9" s="18">
        <f>C8*(1-Assumptions!B8)</f>
        <v>4175922728.280609</v>
      </c>
      <c r="D9" s="18">
        <f>D8*(1-Assumptions!B8)</f>
        <v>4569659340.173411</v>
      </c>
      <c r="E9" s="18">
        <f>E8*(1-Assumptions!B8)</f>
        <v>4955288969.071696</v>
      </c>
      <c r="F9" s="18">
        <f>F8*(1-Assumptions!B8)</f>
        <v>5324413158.307567</v>
      </c>
      <c r="G9" s="18">
        <f>G8*(1-Assumptions!B8)</f>
        <v>5668331705.088833</v>
      </c>
      <c r="H9" s="18">
        <f>H8*(1-Assumptions!B8)</f>
        <v>5978358674.712161</v>
      </c>
      <c r="I9" s="18">
        <f>I8*(1-Assumptions!B8)</f>
        <v>6246167504.771911</v>
      </c>
      <c r="J9" s="18">
        <f>J8*(1-Assumptions!B8)</f>
        <v>6464147446.740025</v>
      </c>
      <c r="K9" s="18">
        <f>K8*(1-Assumptions!B8)</f>
        <v>6625751132.908524</v>
      </c>
    </row>
    <row r="10" spans="1:11" x14ac:dyDescent="0.25">
      <c r="A10" t="s">
        <v>53</v>
      </c>
      <c r="B10" s="18">
        <f>B6*Assumptions!B9</f>
        <v>3467412147.2255287</v>
      </c>
      <c r="C10" s="18">
        <f>C6*Assumptions!B9</f>
        <v>3828666292.0096927</v>
      </c>
      <c r="D10" s="18">
        <f>D6*Assumptions!B9</f>
        <v>4189661021.072787</v>
      </c>
      <c r="E10" s="18">
        <f>E6*Assumptions!B9</f>
        <v>4543222918.0313015</v>
      </c>
      <c r="F10" s="18">
        <f>F6*Assumptions!B9</f>
        <v>4881651915.129789</v>
      </c>
      <c r="G10" s="18">
        <f>G6*Assumptions!B9</f>
        <v>5196971290.735321</v>
      </c>
      <c r="H10" s="18">
        <f>H6*Assumptions!B9</f>
        <v>5481217404.814994</v>
      </c>
      <c r="I10" s="18">
        <f>I6*Assumptions!B9</f>
        <v>5726756105.377706</v>
      </c>
      <c r="J10" s="18">
        <f>J6*Assumptions!B9</f>
        <v>5926609529.507317</v>
      </c>
      <c r="K10" s="18">
        <f>K6*Assumptions!B9</f>
        <v>6074774767.744999</v>
      </c>
    </row>
    <row r="11" spans="1:11" x14ac:dyDescent="0.25">
      <c r="A11" t="s">
        <v>54</v>
      </c>
      <c r="B11" s="18">
        <f>-B6*B19</f>
        <v>-5205992635.256584</v>
      </c>
      <c r="C11" s="18">
        <f>-C6*C19</f>
        <v>-5616648900.849137</v>
      </c>
      <c r="D11" s="18">
        <f>-D6*D19</f>
        <v>-6002074210.675229</v>
      </c>
      <c r="E11" s="18">
        <f>-E6*E19</f>
        <v>-6352265579.551228</v>
      </c>
      <c r="F11" s="18">
        <f>-F6*F19</f>
        <v>-6657489048.790769</v>
      </c>
      <c r="G11" s="18">
        <f>-G6*G19</f>
        <v>-6908702627.991865</v>
      </c>
      <c r="H11" s="18">
        <f>-H6*H19</f>
        <v>-7097979086.147217</v>
      </c>
      <c r="I11" s="18">
        <f>-I6*I19</f>
        <v>-7218902549.511284</v>
      </c>
      <c r="J11" s="18">
        <f>-J6*J19</f>
        <v>-7266912525.279925</v>
      </c>
      <c r="K11" s="18">
        <f>-K6*K19</f>
        <v>-7239570763.078459</v>
      </c>
    </row>
    <row r="12" spans="1:11" x14ac:dyDescent="0.25">
      <c r="A12" t="s">
        <v>55</v>
      </c>
      <c r="B12" s="18">
        <f>-(B6-Assumptions!B29)*Assumptions!B11</f>
        <v>-223611655.17620927</v>
      </c>
      <c r="C12" s="18">
        <f>-(C6-B6)*Assumptions!B11</f>
        <v>-211691739.43742242</v>
      </c>
      <c r="D12" s="18">
        <f>-(D6-C6)*Assumptions!B11</f>
        <v>-211539724.1151802</v>
      </c>
      <c r="E12" s="18">
        <f>-(E6-D6)*Assumptions!B11</f>
        <v>-207184150.12417525</v>
      </c>
      <c r="F12" s="18">
        <f>-(F6-E6)*Assumptions!B11</f>
        <v>-198316404.41010037</v>
      </c>
      <c r="G12" s="18">
        <f>-(G6-F6)*Assumptions!B11</f>
        <v>-184774370.24324802</v>
      </c>
      <c r="H12" s="18">
        <f>-(H6-G6)*Assumptions!B11</f>
        <v>-166565713.32573873</v>
      </c>
      <c r="I12" s="18">
        <f>-(I6-H6)*Assumptions!B11</f>
        <v>-143883510.74111587</v>
      </c>
      <c r="J12" s="18">
        <f>-(J6-I6)*Assumptions!B11</f>
        <v>-117112342.09312476</v>
      </c>
      <c r="K12" s="18">
        <f>-(K6-J6)*Assumptions!B11</f>
        <v>-86823521.50017458</v>
      </c>
    </row>
    <row r="13" spans="1:11" x14ac:dyDescent="0.25">
      <c r="A13" s="19" t="s">
        <v>56</v>
      </c>
      <c r="B13" s="20">
        <f>B9+B10+B11+B12</f>
        <v>1819711028.6972497</v>
      </c>
      <c r="C13" s="20">
        <f>C9+C10+C11+C12</f>
        <v>2176248380.0037427</v>
      </c>
      <c r="D13" s="20">
        <f>D9+D10+D11+D12</f>
        <v>2545706426.4557896</v>
      </c>
      <c r="E13" s="20">
        <f>E9+E10+E11+E12</f>
        <v>2939062157.427594</v>
      </c>
      <c r="F13" s="20">
        <f>F9+F10+F11+F12</f>
        <v>3350259620.236486</v>
      </c>
      <c r="G13" s="20">
        <f>G9+G10+G11+G12</f>
        <v>3771825997.5890408</v>
      </c>
      <c r="H13" s="20">
        <f>H9+H10+H11+H12</f>
        <v>4195031280.054199</v>
      </c>
      <c r="I13" s="20">
        <f>I9+I10+I11+I12</f>
        <v>4610137549.897217</v>
      </c>
      <c r="J13" s="20">
        <f>J9+J10+J11+J12</f>
        <v>5006732108.874291</v>
      </c>
      <c r="K13" s="20">
        <f>K9+K10+K11+K12</f>
        <v>5374131616.074889</v>
      </c>
    </row>
    <row r="14" spans="1:11" x14ac:dyDescent="0.25">
      <c r="A14" t="s">
        <v>57</v>
      </c>
      <c r="B14" s="21">
        <f>1/(1+Assumptions!$B$26)^(1-0.5*Assumptions!$B$32)</f>
        <v>0.952706227157243</v>
      </c>
      <c r="C14" s="21">
        <f>1/(1+Assumptions!$B$26)^(2-0.5*Assumptions!$B$32)</f>
        <v>0.8647230022942034</v>
      </c>
      <c r="D14" s="21">
        <f>1/(1+Assumptions!$B$26)^(3-0.5*Assumptions!$B$32)</f>
        <v>0.7848651025698464</v>
      </c>
      <c r="E14" s="21">
        <f>1/(1+Assumptions!$B$26)^(4-0.5*Assumptions!$B$32)</f>
        <v>0.7123821473438617</v>
      </c>
      <c r="F14" s="21">
        <f>1/(1+Assumptions!$B$26)^(5-0.5*Assumptions!$B$32)</f>
        <v>0.6465930542619445</v>
      </c>
      <c r="G14" s="21">
        <f>1/(1+Assumptions!$B$26)^(6-0.5*Assumptions!$B$32)</f>
        <v>0.5868796395005454</v>
      </c>
      <c r="H14" s="21">
        <f>1/(1+Assumptions!$B$26)^(7-0.5*Assumptions!$B$32)</f>
        <v>0.5326808090344214</v>
      </c>
      <c r="I14" s="21">
        <f>1/(1+Assumptions!$B$26)^(8-0.5*Assumptions!$B$32)</f>
        <v>0.48348728634553695</v>
      </c>
      <c r="J14" s="21">
        <f>1/(1+Assumptions!$B$26)^(9-0.5*Assumptions!$B$32)</f>
        <v>0.4388368270325013</v>
      </c>
      <c r="K14" s="21">
        <f>1/(1+Assumptions!$B$26)^(10-0.5*Assumptions!$B$32)</f>
        <v>0.3983098753548665</v>
      </c>
    </row>
    <row r="15" spans="1:11" x14ac:dyDescent="0.25">
      <c r="A15" s="19" t="s">
        <v>58</v>
      </c>
      <c r="B15" s="20">
        <f>B13*B14</f>
        <v>1733650028.666582</v>
      </c>
      <c r="C15" s="20">
        <f>C13*C14</f>
        <v>1881852032.8947327</v>
      </c>
      <c r="D15" s="20">
        <f>D13*D14</f>
        <v>1998036135.5129404</v>
      </c>
      <c r="E15" s="20">
        <f>E13*E14</f>
        <v>2093735410.8853526</v>
      </c>
      <c r="F15" s="20">
        <f>F13*F14</f>
        <v>2166254600.419172</v>
      </c>
      <c r="G15" s="20">
        <f>G13*G14</f>
        <v>2213607881.7238417</v>
      </c>
      <c r="H15" s="20">
        <f>H13*H14</f>
        <v>2234612656.183975</v>
      </c>
      <c r="I15" s="20">
        <f>I13*I14</f>
        <v>2228942893.6794677</v>
      </c>
      <c r="J15" s="20">
        <f>J13*J14</f>
        <v>2197138432.460138</v>
      </c>
      <c r="K15" s="20">
        <f>K13*K14</f>
        <v>2140569694.1394365</v>
      </c>
    </row>
    <row r="17" spans="1:2" x14ac:dyDescent="0.25">
      <c r="A17" s="22" t="s">
        <v>59</v>
      </c>
      <c r="B17" s="23">
        <f>SUM(B15:K15)</f>
        <v>20888399766.56564</v>
      </c>
    </row>
    <row r="19" spans="1:11" x14ac:dyDescent="0.25">
      <c r="A19" t="s">
        <v>7</v>
      </c>
      <c r="B19" s="9">
        <f>Assumptions!$B$10+($B$20-Assumptions!$B$10)*0/9</f>
        <v>0.2877857500262255</v>
      </c>
      <c r="C19" s="9">
        <f>Assumptions!$B$10+($B$20-Assumptions!$B$10)*1/9</f>
        <v>0.2811907075922838</v>
      </c>
      <c r="D19" s="9">
        <f>Assumptions!$B$10+($B$20-Assumptions!$B$10)*2/9</f>
        <v>0.2745956651583422</v>
      </c>
      <c r="E19" s="9">
        <f>Assumptions!$B$10+($B$20-Assumptions!$B$10)*3/9</f>
        <v>0.26800062272440056</v>
      </c>
      <c r="F19" s="9">
        <f>Assumptions!$B$10+($B$20-Assumptions!$B$10)*4/9</f>
        <v>0.26140558029045896</v>
      </c>
      <c r="G19" s="9">
        <f>Assumptions!$B$10+($B$20-Assumptions!$B$10)*5/9</f>
        <v>0.2548105378565173</v>
      </c>
      <c r="H19" s="9">
        <f>Assumptions!$B$10+($B$20-Assumptions!$B$10)*6/9</f>
        <v>0.2482154954225757</v>
      </c>
      <c r="I19" s="9">
        <f>Assumptions!$B$10+($B$20-Assumptions!$B$10)*7/9</f>
        <v>0.24162045298863405</v>
      </c>
      <c r="J19" s="9">
        <f>Assumptions!$B$10+($B$20-Assumptions!$B$10)*8/9</f>
        <v>0.23502541055469242</v>
      </c>
      <c r="K19" s="9">
        <f>Assumptions!$B$10+($B$20-Assumptions!$B$10)*9/9</f>
        <v>0.2284303681207508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0.2284303681207508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5374131616.074889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6625751132.908524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0.17579833168622896</v>
      </c>
    </row>
    <row r="7" spans="1:2" x14ac:dyDescent="0.25">
      <c r="A7" t="s">
        <v>66</v>
      </c>
      <c r="B7" s="18">
        <f>-MAX(B5,0)*B6</f>
        <v>-1164795995.3334599</v>
      </c>
    </row>
    <row r="8" spans="1:2" x14ac:dyDescent="0.25">
      <c r="A8" t="s">
        <v>67</v>
      </c>
      <c r="B8" s="18">
        <f>IF(OR(Assumptions!$B$33=0,Assumptions!B12&lt;=0),B5,MAX(B5+B7,0))</f>
        <v>5460955137.575064</v>
      </c>
    </row>
    <row r="9" spans="1:2" x14ac:dyDescent="0.25">
      <c r="A9" t="s">
        <v>68</v>
      </c>
      <c r="B9" s="18">
        <f>B8*(1+Assumptions!B12)/(Assumptions!B26-Assumptions!B12)</f>
        <v>72933894885.77963</v>
      </c>
    </row>
    <row r="10" spans="1:2" x14ac:dyDescent="0.25">
      <c r="A10" t="s">
        <v>69</v>
      </c>
      <c r="B10" s="18">
        <f>B9/(1+Assumptions!B26)^(10-0.5*Assumptions!B32)</f>
        <v>29050290581.099823</v>
      </c>
    </row>
    <row r="11" spans="1:2" x14ac:dyDescent="0.25">
      <c r="A11" t="s">
        <v>70</v>
      </c>
      <c r="B11" s="18">
        <f>Forecast!B17+B10</f>
        <v>49938690347.66547</v>
      </c>
    </row>
    <row r="12" spans="1:2" x14ac:dyDescent="0.25">
      <c r="A12" t="s">
        <v>71</v>
      </c>
      <c r="B12" s="18">
        <f>-Assumptions!B30</f>
        <v>-15211000000</v>
      </c>
    </row>
    <row r="13" spans="1:2" x14ac:dyDescent="0.25">
      <c r="A13" t="s">
        <v>72</v>
      </c>
      <c r="B13" s="18">
        <f>B11+B12</f>
        <v>34727690347.66547</v>
      </c>
    </row>
    <row r="14" spans="1:2" x14ac:dyDescent="0.25">
      <c r="A14" s="19" t="s">
        <v>73</v>
      </c>
      <c r="B14" s="24">
        <f>B13/Assumptions!B31</f>
        <v>537.5470612913359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14461801518.262117</v>
      </c>
    </row>
    <row r="18" spans="1:2" x14ac:dyDescent="0.25">
      <c r="A18" t="s">
        <v>68</v>
      </c>
      <c r="B18" s="18">
        <f>B17*Assumptions!B13</f>
        <v>179677976521.59384</v>
      </c>
    </row>
    <row r="19" spans="1:2" x14ac:dyDescent="0.25">
      <c r="A19" t="s">
        <v>69</v>
      </c>
      <c r="B19" s="18">
        <f>B18/(1+Assumptions!B26)^(10-0.5*Assumptions!B32)</f>
        <v>71567512432.33067</v>
      </c>
    </row>
    <row r="20" spans="1:2" x14ac:dyDescent="0.25">
      <c r="A20" t="s">
        <v>70</v>
      </c>
      <c r="B20" s="18">
        <f>Forecast!B17+B19</f>
        <v>92455912198.89632</v>
      </c>
    </row>
    <row r="21" spans="1:2" x14ac:dyDescent="0.25">
      <c r="A21" t="s">
        <v>71</v>
      </c>
      <c r="B21" s="18">
        <f>-Assumptions!B30</f>
        <v>-15211000000</v>
      </c>
    </row>
    <row r="22" spans="1:2" x14ac:dyDescent="0.25">
      <c r="A22" t="s">
        <v>72</v>
      </c>
      <c r="B22" s="18">
        <f>B20+B21</f>
        <v>77244912198.89632</v>
      </c>
    </row>
    <row r="23" spans="1:2" x14ac:dyDescent="0.25">
      <c r="A23" s="19" t="s">
        <v>73</v>
      </c>
      <c r="B23" s="25">
        <f>B22/Assumptions!B31</f>
        <v>1195.6676397575432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1175.42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537.5470612913359</v>
      </c>
    </row>
    <row r="29" spans="1:2" x14ac:dyDescent="0.25">
      <c r="A29" s="19" t="s">
        <v>81</v>
      </c>
      <c r="B29" s="11">
        <f>B28/B26-1</f>
        <v>-0.5426766081134098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0.081747</v>
      </c>
      <c r="B5" s="31">
        <v>800.7632729022014</v>
      </c>
      <c r="C5" s="31">
        <v>820.1393415525788</v>
      </c>
      <c r="D5" s="31">
        <v>844.295540245606</v>
      </c>
      <c r="E5" s="31">
        <v>874.6174942472835</v>
      </c>
      <c r="F5" s="31">
        <v>913.0836477279269</v>
      </c>
    </row>
    <row r="6" spans="1:6" x14ac:dyDescent="0.25">
      <c r="A6" s="30">
        <v>0.091747</v>
      </c>
      <c r="B6" s="31">
        <v>648.4195037243552</v>
      </c>
      <c r="C6" s="31">
        <v>656.7607102029276</v>
      </c>
      <c r="D6" s="31">
        <v>667.4496340388284</v>
      </c>
      <c r="E6" s="31">
        <v>681.0565986544095</v>
      </c>
      <c r="F6" s="31">
        <v>698.3529331365867</v>
      </c>
    </row>
    <row r="7" spans="1:6" x14ac:dyDescent="0.25">
      <c r="A7" s="30">
        <v>0.101747</v>
      </c>
      <c r="B7" s="31">
        <v>532.1901468198768</v>
      </c>
      <c r="C7" s="31">
        <v>534.2820235378673</v>
      </c>
      <c r="D7" s="32">
        <v>537.550361829471</v>
      </c>
      <c r="E7" s="31">
        <v>542.2411221335109</v>
      </c>
      <c r="F7" s="31">
        <v>548.6739642127706</v>
      </c>
    </row>
    <row r="8" spans="1:6" x14ac:dyDescent="0.25">
      <c r="A8" s="30">
        <v>0.111747</v>
      </c>
      <c r="B8" s="31">
        <v>440.8107595092969</v>
      </c>
      <c r="C8" s="31">
        <v>439.2683649192222</v>
      </c>
      <c r="D8" s="31">
        <v>438.30571371428937</v>
      </c>
      <c r="E8" s="31">
        <v>438.02918473136214</v>
      </c>
      <c r="F8" s="31">
        <v>438.5728787604403</v>
      </c>
    </row>
    <row r="9" spans="1:6" x14ac:dyDescent="0.25">
      <c r="A9" s="30">
        <v>0.121747</v>
      </c>
      <c r="B9" s="31">
        <v>367.2429972672558</v>
      </c>
      <c r="C9" s="31">
        <v>363.57123854005164</v>
      </c>
      <c r="D9" s="31">
        <v>360.1639241519496</v>
      </c>
      <c r="E9" s="31">
        <v>357.0642889235603</v>
      </c>
      <c r="F9" s="31">
        <v>354.32553570219494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16099000000</v>
      </c>
      <c r="C5" s="18">
        <v>15345000000</v>
      </c>
      <c r="D5" s="18">
        <v>14332000000</v>
      </c>
      <c r="E5" s="18">
        <v>11642000000</v>
      </c>
      <c r="F5" s="6" t="s">
        <v>91</v>
      </c>
    </row>
    <row r="6" spans="1:6" x14ac:dyDescent="0.25">
      <c r="A6" t="s">
        <v>51</v>
      </c>
      <c r="B6" s="18">
        <v>3974000000</v>
      </c>
      <c r="C6" s="18">
        <v>4068000000</v>
      </c>
      <c r="D6" s="18">
        <v>3855000000</v>
      </c>
      <c r="E6" s="18">
        <v>3232000000</v>
      </c>
      <c r="F6" s="6" t="s">
        <v>92</v>
      </c>
    </row>
    <row r="7" spans="1:6" x14ac:dyDescent="0.25">
      <c r="A7" t="s">
        <v>93</v>
      </c>
      <c r="B7" s="18">
        <v>3108000000</v>
      </c>
      <c r="C7" s="18">
        <v>2903000000</v>
      </c>
      <c r="D7" s="18">
        <v>2781000000</v>
      </c>
      <c r="E7" s="18">
        <v>2217000000</v>
      </c>
      <c r="F7" s="6" t="s">
        <v>94</v>
      </c>
    </row>
    <row r="8" spans="1:6" x14ac:dyDescent="0.25">
      <c r="A8" t="s">
        <v>95</v>
      </c>
      <c r="B8" s="18">
        <v>4528000000</v>
      </c>
      <c r="C8" s="18">
        <v>4127000000</v>
      </c>
      <c r="D8" s="18">
        <v>4070000000</v>
      </c>
      <c r="E8" s="18">
        <v>3690000000</v>
      </c>
      <c r="F8" s="6" t="s">
        <v>96</v>
      </c>
    </row>
    <row r="9" spans="1:6" x14ac:dyDescent="0.25">
      <c r="A9" t="s">
        <v>97</v>
      </c>
      <c r="B9" s="18">
        <v>279000000</v>
      </c>
      <c r="C9" s="18">
        <v>266000000</v>
      </c>
      <c r="D9" s="18">
        <v>-173000000</v>
      </c>
      <c r="E9" s="18">
        <v>-24000000</v>
      </c>
      <c r="F9" s="6" t="s">
        <v>98</v>
      </c>
    </row>
    <row r="10" spans="1:6" x14ac:dyDescent="0.25">
      <c r="A10" t="s">
        <v>99</v>
      </c>
      <c r="B10" s="18">
        <v>15670000000</v>
      </c>
      <c r="C10" s="18">
        <v>14789000000</v>
      </c>
      <c r="D10" s="18">
        <v>12662000000</v>
      </c>
      <c r="E10" s="18">
        <v>12223000000</v>
      </c>
      <c r="F10" s="6" t="s">
        <v>100</v>
      </c>
    </row>
    <row r="11" spans="1:6" x14ac:dyDescent="0.25">
      <c r="A11" t="s">
        <v>101</v>
      </c>
      <c r="B11" s="18">
        <v>459000000</v>
      </c>
      <c r="C11" s="18">
        <v>457000000</v>
      </c>
      <c r="D11" s="18">
        <v>363000000</v>
      </c>
      <c r="E11" s="18">
        <v>106000000</v>
      </c>
      <c r="F11" s="6" t="s">
        <v>102</v>
      </c>
    </row>
    <row r="12" spans="1:6" x14ac:dyDescent="0.25">
      <c r="A12" t="s">
        <v>34</v>
      </c>
      <c r="B12" s="34">
        <v>64604000</v>
      </c>
      <c r="C12" s="34">
        <v>65305731</v>
      </c>
      <c r="D12" s="34">
        <v>67269577</v>
      </c>
      <c r="E12" s="34">
        <v>69356981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