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<sst xmlns="http://schemas.openxmlformats.org/spreadsheetml/2006/main" count="70" uniqueCount="67">
  <si>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U.S. Bancorp (USB)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</si>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</sst>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1.01273</v>
      </c>
    </row>
    <row r="9" spans="1:2" x14ac:dyDescent="0.25">
      <c r="A9" t="s">
        <v>8</v>
      </c>
      <c r="B9" s="8">
        <f>B6+B8*B7</f>
        <v>0.091778479</v>
      </c>
    </row>
    <row r="10" spans="1:2" x14ac:dyDescent="0.25">
      <c r="A10" t="s">
        <v>9</v>
      </c>
      <c r="B10" s="8">
        <f>MEDIAN('Source data'!B9:E9)</f>
        <v>0.12184007587941771</v>
      </c>
    </row>
    <row r="11" spans="1:2" x14ac:dyDescent="0.25">
      <c r="A11" t="s">
        <v>10</v>
      </c>
      <c r="B11" s="8">
        <f>IFERROR(MIN(MAX(MEDIAN('Source data'!B10:E10),0),1),0)</f>
        <v>0.5835166694872229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58385000000</v>
      </c>
    </row>
    <row r="15" spans="1:2" x14ac:dyDescent="0.25">
      <c r="A15" t="s">
        <v>14</v>
      </c>
      <c r="B15" s="10">
        <f>'Source data'!B8</f>
        <v>1558000000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0.05074436059218936</v>
      </c>
    </row>
    <row r="18" spans="1:2" x14ac:dyDescent="0.25">
      <c r="A18" t="s">
        <v>17</v>
      </c>
      <c r="B18" s="8">
        <f>MIN(B10,B12)</f>
        <v>0.12184007587941771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0.12184007587941771</v>
      </c>
      <c r="C22" s="8">
        <f>$B$10+($B$18-$B$10)*C21/$B$16</f>
        <v>0.12184007587941771</v>
      </c>
      <c r="D22" s="8">
        <f>$B$10+($B$18-$B$10)*D21/$B$16</f>
        <v>0.12184007587941771</v>
      </c>
      <c r="E22" s="8">
        <f>$B$10+($B$18-$B$10)*E21/$B$16</f>
        <v>0.12184007587941771</v>
      </c>
      <c r="F22" s="8">
        <f>$B$10+($B$18-$B$10)*F21/$B$16</f>
        <v>0.12184007587941771</v>
      </c>
      <c r="G22" s="8">
        <f>$B$10+($B$18-$B$10)*G21/$B$16</f>
        <v>0.12184007587941771</v>
      </c>
      <c r="H22" s="8">
        <f>$B$10+($B$18-$B$10)*H21/$B$16</f>
        <v>0.12184007587941771</v>
      </c>
      <c r="I22" s="8">
        <f>$B$10+($B$18-$B$10)*I21/$B$16</f>
        <v>0.12184007587941771</v>
      </c>
      <c r="J22" s="8">
        <f>$B$10+($B$18-$B$10)*J21/$B$16</f>
        <v>0.12184007587941771</v>
      </c>
      <c r="K22" s="8">
        <f>$B$10+($B$18-$B$10)*K21/$B$16</f>
        <v>0.12184007587941771</v>
      </c>
    </row>
    <row r="23" spans="1:11" x14ac:dyDescent="0.25">
      <c r="A23" t="s">
        <v>31</v>
      </c>
      <c r="B23" s="8">
        <f>$B$17+($B$13-$B$17)*B21/$B$16</f>
        <v>0.04816992453297043</v>
      </c>
      <c r="C23" s="8">
        <f>$B$17+($B$13-$B$17)*C21/$B$16</f>
        <v>0.045595488473751486</v>
      </c>
      <c r="D23" s="8">
        <f>$B$17+($B$13-$B$17)*D21/$B$16</f>
        <v>0.04302105241453255</v>
      </c>
      <c r="E23" s="8">
        <f>$B$17+($B$13-$B$17)*E21/$B$16</f>
        <v>0.04044661635531362</v>
      </c>
      <c r="F23" s="8">
        <f>$B$17+($B$13-$B$17)*F21/$B$16</f>
        <v>0.03787218029609468</v>
      </c>
      <c r="G23" s="8">
        <f>$B$17+($B$13-$B$17)*G21/$B$16</f>
        <v>0.03529774423687575</v>
      </c>
      <c r="H23" s="8">
        <f>$B$17+($B$13-$B$17)*H21/$B$16</f>
        <v>0.03272330817765681</v>
      </c>
      <c r="I23" s="8">
        <f>$B$17+($B$13-$B$17)*I21/$B$16</f>
        <v>0.03014887211843787</v>
      </c>
      <c r="J23" s="8">
        <f>$B$17+($B$13-$B$17)*J21/$B$16</f>
        <v>0.027574436059218936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58385000000</v>
      </c>
      <c r="C24" s="9">
        <f>B24*(1+B23)</f>
        <v>61197401043.857475</v>
      </c>
      <c r="D24" s="9">
        <f>C24*(1+C23)</f>
        <v>63987726437.77623</v>
      </c>
      <c r="E24" s="9">
        <f>D24*(1+D23)</f>
        <v>66740545770.74257</v>
      </c>
      <c r="F24" s="9">
        <f>E24*(1+E23)</f>
        <v>69439975020.87604</v>
      </c>
      <c r="G24" s="9">
        <f>F24*(1+F23)</f>
        <v>72069818274.62296</v>
      </c>
      <c r="H24" s="9">
        <f>G24*(1+G23)</f>
        <v>74613720287.27872</v>
      </c>
      <c r="I24" s="9">
        <f>H24*(1+H23)</f>
        <v>77055328050.52083</v>
      </c>
      <c r="J24" s="9">
        <f>I24*(1+I23)</f>
        <v>79378459281.96025</v>
      </c>
      <c r="K24" s="9">
        <f>J24*(1+J23)</f>
        <v>81567275531.90997</v>
      </c>
    </row>
    <row r="25" spans="1:11" x14ac:dyDescent="0.25">
      <c r="A25" t="s">
        <v>33</v>
      </c>
      <c r="B25" s="9">
        <f>(B22-$B$9)*B24</f>
        <v>1755146333.8048034</v>
      </c>
      <c r="C25" s="9">
        <f>(C22-$B$9)*C24</f>
        <v>1839691600.2485003</v>
      </c>
      <c r="D25" s="9">
        <f>(D22-$B$9)*D24</f>
        <v>1923573237.4028883</v>
      </c>
      <c r="E25" s="9">
        <f>(E22-$B$9)*E24</f>
        <v>2006327382.47239</v>
      </c>
      <c r="F25" s="9">
        <f>(F22-$B$9)*F24</f>
        <v>2087476536.394411</v>
      </c>
      <c r="G25" s="9">
        <f>(G22-$B$9)*G24</f>
        <v>2166533824.144607</v>
      </c>
      <c r="H25" s="9">
        <f>(H22-$B$9)*H24</f>
        <v>2243007580.9498043</v>
      </c>
      <c r="I25" s="9">
        <f>(I22-$B$9)*I24</f>
        <v>2316406209.266045</v>
      </c>
      <c r="J25" s="9">
        <f>(J22-$B$9)*J24</f>
        <v>2386243243.8435626</v>
      </c>
      <c r="K25" s="9">
        <f>(K22-$B$9)*K24</f>
        <v>2452042555.59267</v>
      </c>
    </row>
    <row r="26" spans="1:11" x14ac:dyDescent="0.25">
      <c r="A26" t="s">
        <v>34</v>
      </c>
      <c r="B26" s="14">
        <f>1/(1+$B$9)^B21</f>
        <v>0.9159367208959245</v>
      </c>
      <c r="C26" s="14">
        <f>1/(1+$B$9)^C21</f>
        <v>0.8389400766855787</v>
      </c>
      <c r="D26" s="14">
        <f>1/(1+$B$9)^D21</f>
        <v>0.7684160228675645</v>
      </c>
      <c r="E26" s="14">
        <f>1/(1+$B$9)^E21</f>
        <v>0.7038204522692046</v>
      </c>
      <c r="F26" s="14">
        <f>1/(1+$B$9)^F21</f>
        <v>0.6446549971509419</v>
      </c>
      <c r="G26" s="14">
        <f>1/(1+$B$9)^G21</f>
        <v>0.5904631841996053</v>
      </c>
      <c r="H26" s="14">
        <f>1/(1+$B$9)^H21</f>
        <v>0.5408269127455527</v>
      </c>
      <c r="I26" s="14">
        <f>1/(1+$B$9)^I21</f>
        <v>0.4953632290324278</v>
      </c>
      <c r="J26" s="14">
        <f>1/(1+$B$9)^J21</f>
        <v>0.45372137165237875</v>
      </c>
      <c r="K26" s="14">
        <f>1/(1+$B$9)^K21</f>
        <v>0.4155800653516809</v>
      </c>
    </row>
    <row r="27" spans="1:11" x14ac:dyDescent="0.25">
      <c r="A27" s="15" t="s">
        <v>35</v>
      </c>
      <c r="B27" s="16">
        <f>B25*B26</f>
        <v>1607602977.6776752</v>
      </c>
      <c r="C27" s="16">
        <f>C25*C26</f>
        <v>1543391012.190292</v>
      </c>
      <c r="D27" s="16">
        <f>D25*D26</f>
        <v>1478104496.7796128</v>
      </c>
      <c r="E27" s="16">
        <f>E25*E26</f>
        <v>1412094245.731807</v>
      </c>
      <c r="F27" s="16">
        <f>F25*F26</f>
        <v>1345702180.621997</v>
      </c>
      <c r="G27" s="16">
        <f>G25*G26</f>
        <v>1279258460.4805725</v>
      </c>
      <c r="H27" s="16">
        <f>H25*H26</f>
        <v>1213078865.269953</v>
      </c>
      <c r="I27" s="16">
        <f>I25*I26</f>
        <v>1147462459.5727937</v>
      </c>
      <c r="J27" s="16">
        <f>J25*J26</f>
        <v>1082689557.6929228</v>
      </c>
      <c r="K27" s="16">
        <f>K25*K26</f>
        <v>1019020005.4983045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58385000000</v>
      </c>
    </row>
    <row r="31" spans="1:2" x14ac:dyDescent="0.25">
      <c r="A31" t="s">
        <v>38</v>
      </c>
      <c r="B31" s="9">
        <f>SUM(B27:K27)</f>
        <v>13128404261.51593</v>
      </c>
    </row>
    <row r="32" spans="1:2" x14ac:dyDescent="0.25">
      <c r="A32" t="s">
        <v>39</v>
      </c>
      <c r="B32" s="9">
        <f>K24*(1+K23)</f>
        <v>83606457420.20772</v>
      </c>
    </row>
    <row r="33" spans="1:2" x14ac:dyDescent="0.25">
      <c r="A33" t="s">
        <v>40</v>
      </c>
      <c r="B33" s="9">
        <f>(B18-B9)*B32</f>
        <v>2513343619.4824862</v>
      </c>
    </row>
    <row r="34" spans="1:2" x14ac:dyDescent="0.25">
      <c r="A34" t="s">
        <v>41</v>
      </c>
      <c r="B34" s="9">
        <f>B33/(B9-B13)</f>
        <v>37637030030.02638</v>
      </c>
    </row>
    <row r="35" spans="1:2" x14ac:dyDescent="0.25">
      <c r="A35" t="s">
        <v>42</v>
      </c>
      <c r="B35" s="9">
        <f>B34*K26</f>
        <v>15641199399.521542</v>
      </c>
    </row>
    <row r="36" spans="1:2" x14ac:dyDescent="0.25">
      <c r="A36" s="15" t="s">
        <v>43</v>
      </c>
      <c r="B36" s="16">
        <f>B30+B31+B35</f>
        <v>87154603661.03748</v>
      </c>
    </row>
    <row r="37" spans="1:2" x14ac:dyDescent="0.25">
      <c r="A37" s="15" t="s">
        <v>44</v>
      </c>
      <c r="B37" s="17">
        <f>B36/B15</f>
        <v>55.9400536977134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59.45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55.9400536977134</v>
      </c>
    </row>
    <row r="43" spans="1:2" x14ac:dyDescent="0.25">
      <c r="A43" s="15" t="s">
        <v>48</v>
      </c>
      <c r="B43" s="21">
        <f>B42/B40-1</f>
        <v>-0.059040307860161456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7194000000</v>
      </c>
      <c r="C5" s="9">
        <v>5909000000</v>
      </c>
      <c r="D5" s="9">
        <v>5051000000</v>
      </c>
      <c r="E5" s="9">
        <v>5501000000</v>
      </c>
      <c r="F5" s="6" t="s">
        <v>57</v>
      </c>
    </row>
    <row r="6" spans="1:6" x14ac:dyDescent="0.25">
      <c r="A6" t="s">
        <v>37</v>
      </c>
      <c r="B6" s="9">
        <v>58385000000</v>
      </c>
      <c r="C6" s="9">
        <v>51770000000</v>
      </c>
      <c r="D6" s="9">
        <v>48498000000</v>
      </c>
      <c r="E6" s="9">
        <v>43958000000</v>
      </c>
      <c r="F6" s="6" t="s">
        <v>58</v>
      </c>
    </row>
    <row r="7" spans="1:6" x14ac:dyDescent="0.25">
      <c r="A7" t="s">
        <v>59</v>
      </c>
      <c r="B7" s="9">
        <v>3502000000</v>
      </c>
      <c r="C7" s="9">
        <v>3448000000</v>
      </c>
      <c r="D7" s="9">
        <v>3311000000</v>
      </c>
      <c r="E7" s="9">
        <v>3075000000</v>
      </c>
      <c r="F7" s="6" t="s">
        <v>60</v>
      </c>
    </row>
    <row r="8" spans="1:6" x14ac:dyDescent="0.25">
      <c r="A8" t="s">
        <v>14</v>
      </c>
      <c r="B8" s="10">
        <v>1558000000</v>
      </c>
      <c r="C8" s="10">
        <v>1561000000</v>
      </c>
      <c r="D8" s="10">
        <v>1543000000</v>
      </c>
      <c r="E8" s="10">
        <v>1490000000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0.13896078810121693</v>
      </c>
      <c r="C9" s="8">
        <f>IF(AND(ISNUMBER(C5),N(D6)&gt;0),C5/D6,"")</f>
        <v>0.12184007587941771</v>
      </c>
      <c r="D9" s="8">
        <f>IF(AND(ISNUMBER(D5),N(E6)&gt;0),D5/E6,"")</f>
        <v>0.11490513672141589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0.4867945510147345</v>
      </c>
      <c r="C10" s="8">
        <f>IF(AND(ISNUMBER(C9),N(C5)&gt;0,ISNUMBER(C7)),C7/C5,"")</f>
        <v>0.5835166694872229</v>
      </c>
      <c r="D10" s="8">
        <f>IF(AND(ISNUMBER(D9),N(D5)&gt;0,ISNUMBER(D7)),D7/D5,"")</f>
        <v>0.6555137596515541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