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<sst xmlns="http://schemas.openxmlformats.org/spreadsheetml/2006/main" count="114" uniqueCount="102">
  <si>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United Utilities Group PLC (UU.L)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</si>
  <si>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</si>
  <si>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</si>
  <si>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</si>
  <si>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</si>
  <si>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</si>
  <si>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</si>
  <si>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</si>
  <si>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</si>
  <si>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</si>
  <si>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</si>
  <si>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</si>
  <si>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</si>
  <si>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</si>
  <si>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</si>
  <si>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</si>
  <si>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</si>
  <si>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</si>
  <si>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</si>
  <si>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</si>
  <si>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</si>
  <si>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</si>
  <si>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</si>
  <si>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</si>
  <si>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</si>
  <si>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</si>
  <si>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</si>
  <si>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</si>
  <si>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</si>
  <si>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</si>
  <si>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</si>
  <si>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</si>
  <si>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</si>
  <si>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</si>
  <si>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</si>
  <si>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</si>
  <si>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</si>
  <si>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</si>
  <si>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</si>
  <si>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</si>
  <si>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</si>
  <si>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</si>
  <si>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</si>
  <si>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</si>
  <si>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</si>
  <si>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</si>
  <si>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</si>
  <si>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</si>
  <si>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</si>
  <si>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</si>
  <si>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</si>
  <si>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</si>
  <si>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</si>
  <si>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</si>
  <si>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</si>
  <si>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</si>
  <si>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</si>
  <si>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</si>
  <si>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</si>
  <si>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</si>
  <si>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</si>
  <si>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</si>
  <si>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</si>
  <si>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</si>
  <si>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</si>
  <si>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</si>
  <si>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</si>
  <si>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</si>
  <si>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</si>
  <si>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</si>
  <si>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</si>
  <si>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</si>
  <si>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</si>
  <si>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</si>
  <si>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</si>
  <si>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</si>
  <si>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</si>
  <si>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</si>
  <si>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</si>
  <si>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</si>
  <si>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</si>
  <si>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</si>
  <si>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</si>
  <si>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</si>
  <si>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</si>
  <si>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</si>
  <si>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</si>
  <si>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</si>
  <si>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</si>
  <si>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</si>
  <si>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</si>
  <si>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</si>
  <si>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</si>
  <si>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</si>
  <si>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</si>
  <si>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</si>
  <si>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</si>
  <si>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</si>
  <si>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</si>
  <si>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45.7% of revenue against depreciation of 21.7%.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</si>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</sst>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0.1318814806488091</v>
      </c>
    </row>
    <row r="7" spans="1:2" x14ac:dyDescent="0.25">
      <c r="A7" t="s">
        <v>5</v>
      </c>
      <c r="B7" s="6">
        <v>0.30336174408285865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0.2169714842755094</v>
      </c>
    </row>
    <row r="10" spans="1:2" x14ac:dyDescent="0.25">
      <c r="A10" t="s">
        <v>8</v>
      </c>
      <c r="B10" s="6">
        <v>0.4571339445744182</v>
      </c>
    </row>
    <row r="11" spans="1:2" x14ac:dyDescent="0.25">
      <c r="A11" t="s">
        <v>9</v>
      </c>
      <c r="B11" s="6">
        <v>-0.002043944813490036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12.43195872063968</v>
      </c>
    </row>
    <row r="14" spans="1:3" x14ac:dyDescent="0.25">
      <c r="A14" t="s">
        <v>12</v>
      </c>
      <c r="B14" s="6">
        <v>0.057775829559037095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0.72329</v>
      </c>
      <c r="C19" s="8" t="s">
        <v>19</v>
      </c>
    </row>
    <row r="20" spans="1:2" x14ac:dyDescent="0.25">
      <c r="A20" t="s">
        <v>20</v>
      </c>
      <c r="B20" s="10">
        <f>B17+B19*B18</f>
        <v>0.08478095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10214379520</v>
      </c>
    </row>
    <row r="23" spans="1:2" x14ac:dyDescent="0.25">
      <c r="A23" t="s">
        <v>24</v>
      </c>
      <c r="B23" s="11">
        <v>11481000000</v>
      </c>
    </row>
    <row r="24" spans="1:2" x14ac:dyDescent="0.25">
      <c r="A24" t="s">
        <v>25</v>
      </c>
      <c r="B24" s="10">
        <f>B22/(B22+B23)</f>
        <v>0.47080898080551303</v>
      </c>
    </row>
    <row r="25" spans="1:2" x14ac:dyDescent="0.25">
      <c r="A25" t="s">
        <v>26</v>
      </c>
      <c r="B25" s="10">
        <f>1-B24</f>
        <v>0.529191019194487</v>
      </c>
    </row>
    <row r="26" spans="1:2" x14ac:dyDescent="0.25">
      <c r="A26" t="s">
        <v>27</v>
      </c>
      <c r="B26" s="12">
        <f>B24*B20+B25*B21*(1-B8)</f>
        <v>0.057775829559037095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2616300000</v>
      </c>
      <c r="C29" s="8" t="s">
        <v>30</v>
      </c>
    </row>
    <row r="30" spans="1:2" x14ac:dyDescent="0.25">
      <c r="A30" t="s">
        <v>31</v>
      </c>
      <c r="B30" s="11">
        <v>9686700000</v>
      </c>
    </row>
    <row r="31" spans="1:2" x14ac:dyDescent="0.25">
      <c r="A31" t="s">
        <v>32</v>
      </c>
      <c r="B31" s="13">
        <v>683600000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0.1318814806488091</v>
      </c>
      <c r="C5" s="10">
        <f>Assumptions!B6</f>
        <v>0.1318814806488091</v>
      </c>
      <c r="D5" s="10">
        <f>Assumptions!B6</f>
        <v>0.1318814806488091</v>
      </c>
      <c r="E5" s="10">
        <f>Assumptions!B6</f>
        <v>0.1318814806488091</v>
      </c>
      <c r="F5" s="10">
        <f>Assumptions!B6</f>
        <v>0.1318814806488091</v>
      </c>
    </row>
    <row r="6" spans="1:6" x14ac:dyDescent="0.25">
      <c r="A6" t="s">
        <v>43</v>
      </c>
      <c r="B6" s="18">
        <f>Assumptions!B29*(1+B5)</f>
        <v>2961341517.8214793</v>
      </c>
      <c r="C6" s="18">
        <f>B6*(1+C5)</f>
        <v>3351887621.8985677</v>
      </c>
      <c r="D6" s="18">
        <f>C6*(1+D5)</f>
        <v>3793939524.4429665</v>
      </c>
      <c r="E6" s="18">
        <f>D6*(1+E5)</f>
        <v>4294289886.418544</v>
      </c>
      <c r="F6" s="18">
        <f>E6*(1+F5)</f>
        <v>4860627194.9746275</v>
      </c>
    </row>
    <row r="7" spans="1:6" x14ac:dyDescent="0.25">
      <c r="A7" t="s">
        <v>5</v>
      </c>
      <c r="B7" s="10">
        <f>Assumptions!B7</f>
        <v>0.30336174408285865</v>
      </c>
      <c r="C7" s="10">
        <f>Assumptions!B7</f>
        <v>0.30336174408285865</v>
      </c>
      <c r="D7" s="10">
        <f>Assumptions!B7</f>
        <v>0.30336174408285865</v>
      </c>
      <c r="E7" s="10">
        <f>Assumptions!B7</f>
        <v>0.30336174408285865</v>
      </c>
      <c r="F7" s="10">
        <f>Assumptions!B7</f>
        <v>0.30336174408285865</v>
      </c>
    </row>
    <row r="8" spans="1:6" x14ac:dyDescent="0.25">
      <c r="A8" t="s">
        <v>44</v>
      </c>
      <c r="B8" s="18">
        <f>B6*B7</f>
        <v>898357727.6713039</v>
      </c>
      <c r="C8" s="18">
        <f>C6*C7</f>
        <v>1016834474.948895</v>
      </c>
      <c r="D8" s="18">
        <f>D6*D7</f>
        <v>1150936111.0799096</v>
      </c>
      <c r="E8" s="18">
        <f>E6*E7</f>
        <v>1302723269.5413105</v>
      </c>
      <c r="F8" s="18">
        <f>F6*F7</f>
        <v>1474528343.204076</v>
      </c>
    </row>
    <row r="9" spans="1:6" x14ac:dyDescent="0.25">
      <c r="A9" t="s">
        <v>45</v>
      </c>
      <c r="B9" s="18">
        <f>B8*(1-Assumptions!B8)</f>
        <v>673768295.7534779</v>
      </c>
      <c r="C9" s="18">
        <f>C8*(1-Assumptions!B8)</f>
        <v>762625856.2116712</v>
      </c>
      <c r="D9" s="18">
        <f>D8*(1-Assumptions!B8)</f>
        <v>863202083.3099322</v>
      </c>
      <c r="E9" s="18">
        <f>E8*(1-Assumptions!B8)</f>
        <v>977042452.155983</v>
      </c>
      <c r="F9" s="18">
        <f>F8*(1-Assumptions!B8)</f>
        <v>1105896257.403057</v>
      </c>
    </row>
    <row r="10" spans="1:6" x14ac:dyDescent="0.25">
      <c r="A10" t="s">
        <v>46</v>
      </c>
      <c r="B10" s="18">
        <f>B6*Assumptions!B9</f>
        <v>642526664.5684162</v>
      </c>
      <c r="C10" s="18">
        <f>C6*Assumptions!B9</f>
        <v>727264032.4480398</v>
      </c>
      <c r="D10" s="18">
        <f>D6*Assumptions!B9</f>
        <v>823176689.8699107</v>
      </c>
      <c r="E10" s="18">
        <f>E6*Assumptions!B9</f>
        <v>931738450.5655402</v>
      </c>
      <c r="F10" s="18">
        <f>F6*Assumptions!B9</f>
        <v>1054617497.0035508</v>
      </c>
    </row>
    <row r="11" spans="1:6" x14ac:dyDescent="0.25">
      <c r="A11" t="s">
        <v>47</v>
      </c>
      <c r="B11" s="18">
        <f>-B6*Assumptions!B10</f>
        <v>-1353729729.2737277</v>
      </c>
      <c r="C11" s="18">
        <f>-C6*Assumptions!B10</f>
        <v>-1532261610.3686583</v>
      </c>
      <c r="D11" s="18">
        <f>-D6*Assumptions!B10</f>
        <v>-1734338540.2854056</v>
      </c>
      <c r="E11" s="18">
        <f>-E6*Assumptions!B10</f>
        <v>-1963065674.9245393</v>
      </c>
      <c r="F11" s="18">
        <f>-F6*Assumptions!B10</f>
        <v>-2221957682.744441</v>
      </c>
    </row>
    <row r="12" spans="1:6" x14ac:dyDescent="0.25">
      <c r="A12" t="s">
        <v>48</v>
      </c>
      <c r="B12" s="18">
        <f>-(B6-Assumptions!B29)*Assumptions!B11</f>
        <v>705245.8207899425</v>
      </c>
      <c r="C12" s="18">
        <f>-(C6-B6)*Assumptions!B11</f>
        <v>798254.6838571045</v>
      </c>
      <c r="D12" s="18">
        <f>-(D6-C6)*Assumptions!B11</f>
        <v>903529.6934990267</v>
      </c>
      <c r="E12" s="18">
        <f>-(E6-D6)*Assumptions!B11</f>
        <v>1022688.5272878434</v>
      </c>
      <c r="F12" s="18">
        <f>-(F6-E6)*Assumptions!B11</f>
        <v>1157562.2045091134</v>
      </c>
    </row>
    <row r="13" spans="1:6" x14ac:dyDescent="0.25">
      <c r="A13" s="19" t="s">
        <v>49</v>
      </c>
      <c r="B13" s="20">
        <f>B9+B10+B11+B12</f>
        <v>-36729523.131043546</v>
      </c>
      <c r="C13" s="20">
        <f>C9+C10+C11+C12</f>
        <v>-41573467.025090314</v>
      </c>
      <c r="D13" s="20">
        <f>D9+D10+D11+D12</f>
        <v>-47056237.41206366</v>
      </c>
      <c r="E13" s="20">
        <f>E9+E10+E11+E12</f>
        <v>-53262083.6757282</v>
      </c>
      <c r="F13" s="20">
        <f>F9+F10+F11+F12</f>
        <v>-60286366.13332429</v>
      </c>
    </row>
    <row r="14" spans="1:6" x14ac:dyDescent="0.25">
      <c r="A14" t="s">
        <v>50</v>
      </c>
      <c r="B14" s="21">
        <f>1/(1+Assumptions!$B$26)^(1-0.5*Assumptions!$B$32)</f>
        <v>0.972306480727365</v>
      </c>
      <c r="C14" s="21">
        <f>1/(1+Assumptions!$B$26)^(2-0.5*Assumptions!$B$32)</f>
        <v>0.9191989961925087</v>
      </c>
      <c r="D14" s="21">
        <f>1/(1+Assumptions!$B$26)^(3-0.5*Assumptions!$B$32)</f>
        <v>0.8689922481738895</v>
      </c>
      <c r="E14" s="21">
        <f>1/(1+Assumptions!$B$26)^(4-0.5*Assumptions!$B$32)</f>
        <v>0.8215277981310584</v>
      </c>
      <c r="F14" s="21">
        <f>1/(1+Assumptions!$B$26)^(5-0.5*Assumptions!$B$32)</f>
        <v>0.7766558614536831</v>
      </c>
    </row>
    <row r="15" spans="1:6" x14ac:dyDescent="0.25">
      <c r="A15" s="19" t="s">
        <v>51</v>
      </c>
      <c r="B15" s="20">
        <f>B13*B14</f>
        <v>-35712353.3743393</v>
      </c>
      <c r="C15" s="20">
        <f>C13*C14</f>
        <v>-38214289.157705374</v>
      </c>
      <c r="D15" s="20">
        <f>D13*D14</f>
        <v>-40891505.53931349</v>
      </c>
      <c r="E15" s="20">
        <f>E13*E14</f>
        <v>-43756282.32599318</v>
      </c>
      <c r="F15" s="20">
        <f>F13*F14</f>
        <v>-46821759.62318912</v>
      </c>
    </row>
    <row r="17" spans="1:2" x14ac:dyDescent="0.25">
      <c r="A17" s="22" t="s">
        <v>52</v>
      </c>
      <c r="B17" s="23">
        <f>SUM(B15:F15)</f>
        <v>-205396190.02054048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-60286366.13332429</v>
      </c>
    </row>
    <row r="5" spans="1:2" x14ac:dyDescent="0.25">
      <c r="A5" t="s">
        <v>56</v>
      </c>
      <c r="B5" s="18">
        <f>IF(Assumptions!$B$33=0,B4,B4-Forecast!F11-Forecast!F10-Forecast!F12)</f>
        <v>1162970914.455625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0.4327068982099901</v>
      </c>
    </row>
    <row r="7" spans="1:2" x14ac:dyDescent="0.25">
      <c r="A7" t="s">
        <v>58</v>
      </c>
      <c r="B7" s="18">
        <f>-MAX(Forecast!F9,0)*B6</f>
        <v>-503225537.1025292</v>
      </c>
    </row>
    <row r="8" spans="1:2" x14ac:dyDescent="0.25">
      <c r="A8" t="s">
        <v>59</v>
      </c>
      <c r="B8" s="18">
        <f>IF(OR(Assumptions!$B$33=0,Assumptions!B12&lt;=0),B5,MAX(B5+B7,0))</f>
        <v>659745377.3530958</v>
      </c>
    </row>
    <row r="9" spans="1:2" x14ac:dyDescent="0.25">
      <c r="A9" t="s">
        <v>60</v>
      </c>
      <c r="B9" s="18">
        <f>B8*(1+Assumptions!B12)/(Assumptions!B26-Assumptions!B12)</f>
        <v>20632247021.203693</v>
      </c>
    </row>
    <row r="10" spans="1:2" x14ac:dyDescent="0.25">
      <c r="A10" t="s">
        <v>61</v>
      </c>
      <c r="B10" s="18">
        <f>B9/(1+Assumptions!B26)^(5-0.5*Assumptions!B32)</f>
        <v>16024155583.978142</v>
      </c>
    </row>
    <row r="11" spans="1:2" x14ac:dyDescent="0.25">
      <c r="A11" t="s">
        <v>62</v>
      </c>
      <c r="B11" s="18">
        <f>Forecast!B17+B10</f>
        <v>15818759393.957602</v>
      </c>
    </row>
    <row r="12" spans="1:2" x14ac:dyDescent="0.25">
      <c r="A12" t="s">
        <v>63</v>
      </c>
      <c r="B12" s="18">
        <f>-Assumptions!B30</f>
        <v>-9686700000</v>
      </c>
    </row>
    <row r="13" spans="1:2" x14ac:dyDescent="0.25">
      <c r="A13" t="s">
        <v>64</v>
      </c>
      <c r="B13" s="18">
        <f>B11+B12</f>
        <v>6132059393.957602</v>
      </c>
    </row>
    <row r="14" spans="1:2" x14ac:dyDescent="0.25">
      <c r="A14" s="19" t="s">
        <v>65</v>
      </c>
      <c r="B14" s="24">
        <f>B13/Assumptions!B31</f>
        <v>8.970244871207726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2529145840.207627</v>
      </c>
    </row>
    <row r="18" spans="1:2" x14ac:dyDescent="0.25">
      <c r="A18" t="s">
        <v>60</v>
      </c>
      <c r="B18" s="18">
        <f>B17*Assumptions!B13</f>
        <v>31442236683.938774</v>
      </c>
    </row>
    <row r="19" spans="1:2" x14ac:dyDescent="0.25">
      <c r="A19" t="s">
        <v>61</v>
      </c>
      <c r="B19" s="18">
        <f>B18/(1+Assumptions!B26)^(5-0.5*Assumptions!B32)</f>
        <v>24419797417.795067</v>
      </c>
    </row>
    <row r="20" spans="1:2" x14ac:dyDescent="0.25">
      <c r="A20" t="s">
        <v>62</v>
      </c>
      <c r="B20" s="18">
        <f>Forecast!B17+B19</f>
        <v>24214401227.774525</v>
      </c>
    </row>
    <row r="21" spans="1:2" x14ac:dyDescent="0.25">
      <c r="A21" t="s">
        <v>63</v>
      </c>
      <c r="B21" s="18">
        <f>-Assumptions!B30</f>
        <v>-9686700000</v>
      </c>
    </row>
    <row r="22" spans="1:2" x14ac:dyDescent="0.25">
      <c r="A22" t="s">
        <v>64</v>
      </c>
      <c r="B22" s="18">
        <f>B20+B21</f>
        <v>14527701227.774525</v>
      </c>
    </row>
    <row r="23" spans="1:2" x14ac:dyDescent="0.25">
      <c r="A23" s="19" t="s">
        <v>65</v>
      </c>
      <c r="B23" s="25">
        <f>B22/Assumptions!B31</f>
        <v>21.251757208564253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1375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897.0244871207726</v>
      </c>
    </row>
    <row r="29" spans="1:2" x14ac:dyDescent="0.25">
      <c r="A29" s="19" t="s">
        <v>73</v>
      </c>
      <c r="B29" s="12">
        <f>B28/B26-1</f>
        <v>-0.34761855482125625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0.037776</v>
      </c>
      <c r="B5" s="31">
        <v>24.19950398442737</v>
      </c>
      <c r="C5" s="31">
        <v>24.39007398319751</v>
      </c>
      <c r="D5" s="31">
        <v>24.580643981967643</v>
      </c>
      <c r="E5" s="31">
        <v>24.771213980737794</v>
      </c>
      <c r="F5" s="31">
        <v>39.194891518777375</v>
      </c>
    </row>
    <row r="6" spans="1:6" x14ac:dyDescent="0.25">
      <c r="A6" s="30">
        <v>0.047776</v>
      </c>
      <c r="B6" s="31">
        <v>14.818218812533273</v>
      </c>
      <c r="C6" s="31">
        <v>14.962536316391128</v>
      </c>
      <c r="D6" s="31">
        <v>15.106853820248972</v>
      </c>
      <c r="E6" s="31">
        <v>15.251171324106817</v>
      </c>
      <c r="F6" s="31">
        <v>15.39548882796466</v>
      </c>
    </row>
    <row r="7" spans="1:6" x14ac:dyDescent="0.25">
      <c r="A7" s="30">
        <v>0.057776</v>
      </c>
      <c r="B7" s="31">
        <v>8.741468607102673</v>
      </c>
      <c r="C7" s="31">
        <v>8.855813729006007</v>
      </c>
      <c r="D7" s="32">
        <v>8.970158850909339</v>
      </c>
      <c r="E7" s="31">
        <v>9.084503972812682</v>
      </c>
      <c r="F7" s="31">
        <v>9.198849094716014</v>
      </c>
    </row>
    <row r="8" spans="1:6" x14ac:dyDescent="0.25">
      <c r="A8" s="30">
        <v>0.067776</v>
      </c>
      <c r="B8" s="31">
        <v>4.503635132936098</v>
      </c>
      <c r="C8" s="31">
        <v>4.59706810661043</v>
      </c>
      <c r="D8" s="31">
        <v>4.690501080284755</v>
      </c>
      <c r="E8" s="31">
        <v>4.783934053959085</v>
      </c>
      <c r="F8" s="31">
        <v>4.877367027633418</v>
      </c>
    </row>
    <row r="9" spans="1:6" x14ac:dyDescent="0.25">
      <c r="A9" s="30">
        <v>0.077776</v>
      </c>
      <c r="B9" s="31">
        <v>1.3930380785856615</v>
      </c>
      <c r="C9" s="31">
        <v>1.4711132437729795</v>
      </c>
      <c r="D9" s="31">
        <v>1.5491884089602916</v>
      </c>
      <c r="E9" s="31">
        <v>1.6272635741476067</v>
      </c>
      <c r="F9" s="31">
        <v>1.7053387393349189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2616300000</v>
      </c>
      <c r="C5" s="18">
        <v>2145200000</v>
      </c>
      <c r="D5" s="18">
        <v>1949500000</v>
      </c>
      <c r="E5" s="18">
        <v>1804200000</v>
      </c>
      <c r="F5" s="8" t="s">
        <v>84</v>
      </c>
    </row>
    <row r="6" spans="1:6" x14ac:dyDescent="0.25">
      <c r="A6" t="s">
        <v>44</v>
      </c>
      <c r="B6" s="18">
        <v>1100300000</v>
      </c>
      <c r="C6" s="18">
        <v>635700000</v>
      </c>
      <c r="D6" s="18">
        <v>485900000</v>
      </c>
      <c r="E6" s="18">
        <v>446200000</v>
      </c>
      <c r="F6" s="8" t="s">
        <v>85</v>
      </c>
    </row>
    <row r="7" spans="1:6" x14ac:dyDescent="0.25">
      <c r="A7" t="s">
        <v>86</v>
      </c>
      <c r="B7" s="18">
        <v>500500000</v>
      </c>
      <c r="C7" s="18">
        <v>464900000</v>
      </c>
      <c r="D7" s="18">
        <v>438800000</v>
      </c>
      <c r="E7" s="18">
        <v>423600000</v>
      </c>
      <c r="F7" s="8" t="s">
        <v>87</v>
      </c>
    </row>
    <row r="8" spans="1:6" x14ac:dyDescent="0.25">
      <c r="A8" t="s">
        <v>88</v>
      </c>
      <c r="B8" s="18">
        <v>1535000000</v>
      </c>
      <c r="C8" s="18">
        <v>998000000</v>
      </c>
      <c r="D8" s="18">
        <v>764100000</v>
      </c>
      <c r="E8" s="18">
        <v>694000000</v>
      </c>
      <c r="F8" s="8" t="s">
        <v>89</v>
      </c>
    </row>
    <row r="9" spans="1:6" x14ac:dyDescent="0.25">
      <c r="A9" t="s">
        <v>90</v>
      </c>
      <c r="B9" s="18">
        <v>-17400000</v>
      </c>
      <c r="C9" s="18">
        <v>-400000</v>
      </c>
      <c r="D9" s="18">
        <v>37900000</v>
      </c>
      <c r="E9" s="18">
        <v>-25200000</v>
      </c>
      <c r="F9" s="8" t="s">
        <v>91</v>
      </c>
    </row>
    <row r="10" spans="1:6" x14ac:dyDescent="0.25">
      <c r="A10" t="s">
        <v>92</v>
      </c>
      <c r="B10" s="18">
        <v>11481000000</v>
      </c>
      <c r="C10" s="18">
        <v>10785000000</v>
      </c>
      <c r="D10" s="18">
        <v>9981400000</v>
      </c>
      <c r="E10" s="18">
        <v>8422900000</v>
      </c>
      <c r="F10" s="8" t="s">
        <v>93</v>
      </c>
    </row>
    <row r="11" spans="1:6" x14ac:dyDescent="0.25">
      <c r="A11" t="s">
        <v>94</v>
      </c>
      <c r="B11" s="18">
        <v>1794300000</v>
      </c>
      <c r="C11" s="18">
        <v>1672600000</v>
      </c>
      <c r="D11" s="18">
        <v>1399300000</v>
      </c>
      <c r="E11" s="18">
        <v>340400000</v>
      </c>
      <c r="F11" s="8" t="s">
        <v>95</v>
      </c>
    </row>
    <row r="12" spans="1:6" x14ac:dyDescent="0.25">
      <c r="A12" t="s">
        <v>32</v>
      </c>
      <c r="B12" s="34">
        <v>683600000</v>
      </c>
      <c r="C12" s="34">
        <v>683600000</v>
      </c>
      <c r="D12" s="34">
        <v>683500000</v>
      </c>
      <c r="E12" s="34">
        <v>684100000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