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<sst xmlns="http://schemas.openxmlformats.org/spreadsheetml/2006/main" count="113" uniqueCount="101">
  <si>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Visa Inc. (V)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</si>
  <si>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</si>
  <si>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</si>
  <si>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</si>
  <si>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</si>
  <si>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</si>
  <si>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</si>
  <si>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</si>
  <si>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</si>
  <si>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</si>
  <si>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</si>
  <si>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</si>
  <si>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</si>
  <si>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</si>
  <si>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</si>
  <si>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</si>
  <si>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</si>
  <si>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</si>
  <si>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</si>
  <si>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</si>
  <si>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</si>
  <si>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</si>
  <si>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</si>
  <si>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</si>
  <si>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</si>
  <si>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</si>
  <si>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</si>
  <si>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</si>
  <si>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</si>
  <si>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</si>
  <si>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</si>
  <si>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</si>
  <si>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</si>
  <si>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</si>
  <si>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</si>
  <si>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</si>
  <si>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</si>
  <si>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</si>
  <si>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</si>
  <si>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</si>
  <si>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</si>
  <si>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</si>
  <si>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</si>
  <si>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</si>
  <si>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</si>
  <si>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</si>
  <si>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</si>
  <si>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</si>
  <si>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</si>
  <si>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</si>
  <si>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</si>
  <si>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</si>
  <si>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</si>
  <si>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</si>
  <si>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</si>
  <si>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</si>
  <si>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</si>
  <si>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</si>
  <si>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</si>
  <si>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</si>
  <si>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</si>
  <si>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</si>
  <si>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</si>
  <si>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</si>
  <si>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</si>
  <si>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</si>
  <si>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</si>
  <si>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</si>
  <si>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</si>
  <si>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</si>
  <si>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</si>
  <si>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</si>
  <si>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</si>
  <si>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</si>
  <si>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</si>
  <si>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</si>
  <si>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</si>
  <si>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</si>
  <si>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</si>
  <si>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</si>
  <si>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</si>
  <si>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</si>
  <si>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</si>
  <si>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</si>
  <si>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</si>
  <si>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</si>
  <si>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</si>
  <si>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</si>
  <si>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</si>
  <si>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</si>
  <si>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</si>
  <si>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</si>
  <si>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</si>
  <si>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</si>
  <si>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</si>
  <si>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</si>
  <si>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</si>
  <si>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</si>
  <si>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</si>
  <si>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Current EV/EBITDA of 25.1x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</si>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</sst>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0.10921242130254294</v>
      </c>
    </row>
    <row r="7" spans="1:2" x14ac:dyDescent="0.25">
      <c r="A7" t="s">
        <v>5</v>
      </c>
      <c r="B7" s="6">
        <v>0.6691298499920102</v>
      </c>
    </row>
    <row r="8" spans="1:2" x14ac:dyDescent="0.25">
      <c r="A8" t="s">
        <v>6</v>
      </c>
      <c r="B8" s="6">
        <v>0.17488621124531362</v>
      </c>
    </row>
    <row r="9" spans="1:2" x14ac:dyDescent="0.25">
      <c r="A9" t="s">
        <v>7</v>
      </c>
      <c r="B9" s="6">
        <v>0.029384113204561857</v>
      </c>
    </row>
    <row r="10" spans="1:2" x14ac:dyDescent="0.25">
      <c r="A10" t="s">
        <v>8</v>
      </c>
      <c r="B10" s="6">
        <v>0.03439125761411904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0.32571341514096935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0.83987</v>
      </c>
      <c r="C19" s="8" t="s">
        <v>19</v>
      </c>
    </row>
    <row r="20" spans="1:2" x14ac:dyDescent="0.25">
      <c r="A20" t="s">
        <v>20</v>
      </c>
      <c r="B20" s="10">
        <f>B17+B19*B18</f>
        <v>0.09617285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691411156992</v>
      </c>
    </row>
    <row r="23" spans="1:2" x14ac:dyDescent="0.25">
      <c r="A23" t="s">
        <v>24</v>
      </c>
      <c r="B23" s="11">
        <v>25171000000</v>
      </c>
    </row>
    <row r="24" spans="1:2" x14ac:dyDescent="0.25">
      <c r="A24" t="s">
        <v>25</v>
      </c>
      <c r="B24" s="10">
        <f>B22/(B22+B23)</f>
        <v>0.9648735322888021</v>
      </c>
    </row>
    <row r="25" spans="1:2" x14ac:dyDescent="0.25">
      <c r="A25" t="s">
        <v>26</v>
      </c>
      <c r="B25" s="10">
        <f>1-B24</f>
        <v>0.03512646771119787</v>
      </c>
    </row>
    <row r="26" spans="1:2" x14ac:dyDescent="0.25">
      <c r="A26" t="s">
        <v>27</v>
      </c>
      <c r="B26" s="12">
        <f>B24*B20+B25*B21*(1-B8)</f>
        <v>0.09424322446606173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40000000000</v>
      </c>
      <c r="C29" s="8" t="s">
        <v>30</v>
      </c>
    </row>
    <row r="30" spans="1:2" x14ac:dyDescent="0.25">
      <c r="A30" t="s">
        <v>31</v>
      </c>
      <c r="B30" s="11">
        <v>6174000000</v>
      </c>
    </row>
    <row r="31" spans="1:2" x14ac:dyDescent="0.25">
      <c r="A31" t="s">
        <v>32</v>
      </c>
      <c r="B31" s="13">
        <v>2194000000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0.10921242130254294</v>
      </c>
      <c r="C5" s="10">
        <f>Assumptions!B6</f>
        <v>0.10921242130254294</v>
      </c>
      <c r="D5" s="10">
        <f>Assumptions!B6</f>
        <v>0.10921242130254294</v>
      </c>
      <c r="E5" s="10">
        <f>Assumptions!B6</f>
        <v>0.10921242130254294</v>
      </c>
      <c r="F5" s="10">
        <f>Assumptions!B6</f>
        <v>0.10921242130254294</v>
      </c>
    </row>
    <row r="6" spans="1:6" x14ac:dyDescent="0.25">
      <c r="A6" t="s">
        <v>43</v>
      </c>
      <c r="B6" s="18">
        <f>Assumptions!B29*(1+B5)</f>
        <v>44368496852.101715</v>
      </c>
      <c r="C6" s="18">
        <f>B6*(1+C5)</f>
        <v>49214087822.874</v>
      </c>
      <c r="D6" s="18">
        <f>C6*(1+D5)</f>
        <v>54588877516.20606</v>
      </c>
      <c r="E6" s="18">
        <f>D6*(1+E5)</f>
        <v>60550661005.93887</v>
      </c>
      <c r="F6" s="18">
        <f>E6*(1+F5)</f>
        <v>67163545305.86693</v>
      </c>
    </row>
    <row r="7" spans="1:6" x14ac:dyDescent="0.25">
      <c r="A7" t="s">
        <v>5</v>
      </c>
      <c r="B7" s="10">
        <f>Assumptions!B7</f>
        <v>0.6691298499920102</v>
      </c>
      <c r="C7" s="10">
        <f>Assumptions!B7</f>
        <v>0.6691298499920102</v>
      </c>
      <c r="D7" s="10">
        <f>Assumptions!B7</f>
        <v>0.6691298499920102</v>
      </c>
      <c r="E7" s="10">
        <f>Assumptions!B7</f>
        <v>0.6691298499920102</v>
      </c>
      <c r="F7" s="10">
        <f>Assumptions!B7</f>
        <v>0.6691298499920102</v>
      </c>
    </row>
    <row r="8" spans="1:6" x14ac:dyDescent="0.25">
      <c r="A8" t="s">
        <v>44</v>
      </c>
      <c r="B8" s="18">
        <f>B6*B7</f>
        <v>29688285643.017796</v>
      </c>
      <c r="C8" s="18">
        <f>C6*C7</f>
        <v>32930615202.413296</v>
      </c>
      <c r="D8" s="18">
        <f>D6*D7</f>
        <v>36527047423.651184</v>
      </c>
      <c r="E8" s="18">
        <f>E6*E7</f>
        <v>40516254715.82094</v>
      </c>
      <c r="F8" s="18">
        <f>F6*F7</f>
        <v>44941132995.44632</v>
      </c>
    </row>
    <row r="9" spans="1:6" x14ac:dyDescent="0.25">
      <c r="A9" t="s">
        <v>45</v>
      </c>
      <c r="B9" s="18">
        <f>B8*(1-Assumptions!B8)</f>
        <v>24496213848.541775</v>
      </c>
      <c r="C9" s="18">
        <f>C8*(1-Assumptions!B8)</f>
        <v>27171504675.68591</v>
      </c>
      <c r="D9" s="18">
        <f>D8*(1-Assumptions!B8)</f>
        <v>30138970491.75094</v>
      </c>
      <c r="E9" s="18">
        <f>E8*(1-Assumptions!B8)</f>
        <v>33430520434.720947</v>
      </c>
      <c r="F9" s="18">
        <f>F8*(1-Assumptions!B8)</f>
        <v>37081548516.800964</v>
      </c>
    </row>
    <row r="10" spans="1:6" x14ac:dyDescent="0.25">
      <c r="A10" t="s">
        <v>46</v>
      </c>
      <c r="B10" s="18">
        <f>B6*Assumptions!B9</f>
        <v>1303728934.218403</v>
      </c>
      <c r="C10" s="18">
        <f>C6*Assumptions!B9</f>
        <v>1446112327.8465788</v>
      </c>
      <c r="D10" s="18">
        <f>D6*Assumptions!B9</f>
        <v>1604045756.6461604</v>
      </c>
      <c r="E10" s="18">
        <f>E6*Assumptions!B9</f>
        <v>1779227477.6095572</v>
      </c>
      <c r="F10" s="18">
        <f>F6*Assumptions!B9</f>
        <v>1973541218.487313</v>
      </c>
    </row>
    <row r="11" spans="1:6" x14ac:dyDescent="0.25">
      <c r="A11" t="s">
        <v>47</v>
      </c>
      <c r="B11" s="18">
        <f>-B6*Assumptions!B10</f>
        <v>-1525888405.19186</v>
      </c>
      <c r="C11" s="18">
        <f>-C6*Assumptions!B10</f>
        <v>-1692534372.5603387</v>
      </c>
      <c r="D11" s="18">
        <f>-D6*Assumptions!B10</f>
        <v>-1877380149.5254335</v>
      </c>
      <c r="E11" s="18">
        <f>-E6*Assumptions!B10</f>
        <v>-2082413381.3604362</v>
      </c>
      <c r="F11" s="18">
        <f>-F6*Assumptions!B10</f>
        <v>-2309838788.8916254</v>
      </c>
    </row>
    <row r="12" spans="1:6" x14ac:dyDescent="0.25">
      <c r="A12" t="s">
        <v>48</v>
      </c>
      <c r="B12" s="18">
        <f>-(B6-Assumptions!B29)*Assumptions!B11</f>
        <v>-4368496852.101715</v>
      </c>
      <c r="C12" s="18">
        <f>-(C6-B6)*Assumptions!B11</f>
        <v>-4845590970.772285</v>
      </c>
      <c r="D12" s="18">
        <f>-(D6-C6)*Assumptions!B11</f>
        <v>-5374789693.332062</v>
      </c>
      <c r="E12" s="18">
        <f>-(E6-D6)*Assumptions!B11</f>
        <v>-5961783489.732811</v>
      </c>
      <c r="F12" s="18">
        <f>-(F6-E6)*Assumptions!B11</f>
        <v>-6612884299.928055</v>
      </c>
    </row>
    <row r="13" spans="1:6" x14ac:dyDescent="0.25">
      <c r="A13" s="19" t="s">
        <v>49</v>
      </c>
      <c r="B13" s="20">
        <f>B9+B10+B11+B12</f>
        <v>19905557525.466602</v>
      </c>
      <c r="C13" s="20">
        <f>C9+C10+C11+C12</f>
        <v>22079491660.199867</v>
      </c>
      <c r="D13" s="20">
        <f>D9+D10+D11+D12</f>
        <v>24490846405.539604</v>
      </c>
      <c r="E13" s="20">
        <f>E9+E10+E11+E12</f>
        <v>27165551041.23726</v>
      </c>
      <c r="F13" s="20">
        <f>F9+F10+F11+F12</f>
        <v>30132366646.468597</v>
      </c>
    </row>
    <row r="14" spans="1:6" x14ac:dyDescent="0.25">
      <c r="A14" t="s">
        <v>50</v>
      </c>
      <c r="B14" s="21">
        <f>1/(1+Assumptions!$B$26)^(1-0.5*Assumptions!$B$32)</f>
        <v>0.9559673659363693</v>
      </c>
      <c r="C14" s="21">
        <f>1/(1+Assumptions!$B$26)^(2-0.5*Assumptions!$B$32)</f>
        <v>0.8736333427175987</v>
      </c>
      <c r="D14" s="21">
        <f>1/(1+Assumptions!$B$26)^(3-0.5*Assumptions!$B$32)</f>
        <v>0.7983904521262993</v>
      </c>
      <c r="E14" s="21">
        <f>1/(1+Assumptions!$B$26)^(4-0.5*Assumptions!$B$32)</f>
        <v>0.7296279604709232</v>
      </c>
      <c r="F14" s="21">
        <f>1/(1+Assumptions!$B$26)^(5-0.5*Assumptions!$B$32)</f>
        <v>0.6667877343512423</v>
      </c>
    </row>
    <row r="15" spans="1:6" x14ac:dyDescent="0.25">
      <c r="A15" s="19" t="s">
        <v>51</v>
      </c>
      <c r="B15" s="20">
        <f>B13*B14</f>
        <v>19029063395.11518</v>
      </c>
      <c r="C15" s="20">
        <f>C13*C14</f>
        <v>19289380104.605755</v>
      </c>
      <c r="D15" s="20">
        <f>D13*D14</f>
        <v>19553257934.67452</v>
      </c>
      <c r="E15" s="20">
        <f>E13*E14</f>
        <v>19820745601.286705</v>
      </c>
      <c r="F15" s="20">
        <f>F13*F14</f>
        <v>20091892486.839737</v>
      </c>
    </row>
    <row r="17" spans="1:2" x14ac:dyDescent="0.25">
      <c r="A17" s="22" t="s">
        <v>52</v>
      </c>
      <c r="B17" s="23">
        <f>SUM(B15:F15)</f>
        <v>97784339522.5219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30132366646.468597</v>
      </c>
    </row>
    <row r="5" spans="1:2" x14ac:dyDescent="0.25">
      <c r="A5" t="s">
        <v>56</v>
      </c>
      <c r="B5" s="18">
        <f>IF(Assumptions!$B$33=0,B4,B4-Forecast!F11-Forecast!F10-Forecast!F12)</f>
        <v>37242499236.48115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0.0767545911155669</v>
      </c>
    </row>
    <row r="7" spans="1:2" x14ac:dyDescent="0.25">
      <c r="A7" t="s">
        <v>58</v>
      </c>
      <c r="B7" s="18">
        <f>-MAX(Forecast!F9,0)*B6</f>
        <v>-2858532801.017923</v>
      </c>
    </row>
    <row r="8" spans="1:2" x14ac:dyDescent="0.25">
      <c r="A8" t="s">
        <v>59</v>
      </c>
      <c r="B8" s="18">
        <f>IF(OR(Assumptions!$B$33=0,Assumptions!B12&lt;=0),B5,MAX(B5+B7,0))</f>
        <v>34383966435.46323</v>
      </c>
    </row>
    <row r="9" spans="1:2" x14ac:dyDescent="0.25">
      <c r="A9" t="s">
        <v>60</v>
      </c>
      <c r="B9" s="18">
        <f>B8*(1+Assumptions!B12)/(Assumptions!B26-Assumptions!B12)</f>
        <v>508982154833.4129</v>
      </c>
    </row>
    <row r="10" spans="1:2" x14ac:dyDescent="0.25">
      <c r="A10" t="s">
        <v>61</v>
      </c>
      <c r="B10" s="18">
        <f>B9/(1+Assumptions!B26)^(5-0.5*Assumptions!B32)</f>
        <v>339383057846.5846</v>
      </c>
    </row>
    <row r="11" spans="1:2" x14ac:dyDescent="0.25">
      <c r="A11" t="s">
        <v>62</v>
      </c>
      <c r="B11" s="18">
        <f>Forecast!B17+B10</f>
        <v>437167397369.1065</v>
      </c>
    </row>
    <row r="12" spans="1:2" x14ac:dyDescent="0.25">
      <c r="A12" t="s">
        <v>63</v>
      </c>
      <c r="B12" s="18">
        <f>-Assumptions!B30</f>
        <v>-6174000000</v>
      </c>
    </row>
    <row r="13" spans="1:2" x14ac:dyDescent="0.25">
      <c r="A13" t="s">
        <v>64</v>
      </c>
      <c r="B13" s="18">
        <f>B11+B12</f>
        <v>430993397369.1065</v>
      </c>
    </row>
    <row r="14" spans="1:2" x14ac:dyDescent="0.25">
      <c r="A14" s="19" t="s">
        <v>65</v>
      </c>
      <c r="B14" s="24">
        <f>B13/Assumptions!B31</f>
        <v>196.44184018646604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46914674213.93363</v>
      </c>
    </row>
    <row r="18" spans="1:2" x14ac:dyDescent="0.25">
      <c r="A18" t="s">
        <v>60</v>
      </c>
      <c r="B18" s="18">
        <f>B17*Assumptions!B13</f>
        <v>938293484278.6726</v>
      </c>
    </row>
    <row r="19" spans="1:2" x14ac:dyDescent="0.25">
      <c r="A19" t="s">
        <v>61</v>
      </c>
      <c r="B19" s="18">
        <f>B18/(1+Assumptions!B26)^(5-0.5*Assumptions!B32)</f>
        <v>625642586538.7091</v>
      </c>
    </row>
    <row r="20" spans="1:2" x14ac:dyDescent="0.25">
      <c r="A20" t="s">
        <v>62</v>
      </c>
      <c r="B20" s="18">
        <f>Forecast!B17+B19</f>
        <v>723426926061.231</v>
      </c>
    </row>
    <row r="21" spans="1:2" x14ac:dyDescent="0.25">
      <c r="A21" t="s">
        <v>63</v>
      </c>
      <c r="B21" s="18">
        <f>-Assumptions!B30</f>
        <v>-6174000000</v>
      </c>
    </row>
    <row r="22" spans="1:2" x14ac:dyDescent="0.25">
      <c r="A22" t="s">
        <v>64</v>
      </c>
      <c r="B22" s="18">
        <f>B20+B21</f>
        <v>717252926061.231</v>
      </c>
    </row>
    <row r="23" spans="1:2" x14ac:dyDescent="0.25">
      <c r="A23" s="19" t="s">
        <v>65</v>
      </c>
      <c r="B23" s="25">
        <f>B22/Assumptions!B31</f>
        <v>326.9156454244444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368.29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196.44184018646604</v>
      </c>
    </row>
    <row r="29" spans="1:2" x14ac:dyDescent="0.25">
      <c r="A29" s="19" t="s">
        <v>73</v>
      </c>
      <c r="B29" s="12">
        <f>B28/B26-1</f>
        <v>-0.4666109854015422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0.074243</v>
      </c>
      <c r="B5" s="31">
        <v>244.89686101444067</v>
      </c>
      <c r="C5" s="31">
        <v>260.9559021308581</v>
      </c>
      <c r="D5" s="31">
        <v>280.23778766806083</v>
      </c>
      <c r="E5" s="31">
        <v>303.83518011077615</v>
      </c>
      <c r="F5" s="31">
        <v>333.39761195098174</v>
      </c>
    </row>
    <row r="6" spans="1:6" x14ac:dyDescent="0.25">
      <c r="A6" s="30">
        <v>0.084243</v>
      </c>
      <c r="B6" s="31">
        <v>207.75289770312273</v>
      </c>
      <c r="C6" s="31">
        <v>218.5914824310098</v>
      </c>
      <c r="D6" s="31">
        <v>231.22901493220994</v>
      </c>
      <c r="E6" s="31">
        <v>246.16296431056537</v>
      </c>
      <c r="F6" s="31">
        <v>264.09284629739454</v>
      </c>
    </row>
    <row r="7" spans="1:6" x14ac:dyDescent="0.25">
      <c r="A7" s="30">
        <v>0.094243</v>
      </c>
      <c r="B7" s="31">
        <v>180.05417041962826</v>
      </c>
      <c r="C7" s="31">
        <v>187.7081925214368</v>
      </c>
      <c r="D7" s="32">
        <v>196.4425075344231</v>
      </c>
      <c r="E7" s="31">
        <v>206.50935140129977</v>
      </c>
      <c r="F7" s="31">
        <v>218.24611305929724</v>
      </c>
    </row>
    <row r="8" spans="1:6" x14ac:dyDescent="0.25">
      <c r="A8" s="30">
        <v>0.104243</v>
      </c>
      <c r="B8" s="31">
        <v>158.62217208297486</v>
      </c>
      <c r="C8" s="31">
        <v>164.21418071439552</v>
      </c>
      <c r="D8" s="31">
        <v>170.49082117489132</v>
      </c>
      <c r="E8" s="31">
        <v>177.59041596538674</v>
      </c>
      <c r="F8" s="31">
        <v>185.69124036208277</v>
      </c>
    </row>
    <row r="9" spans="1:6" x14ac:dyDescent="0.25">
      <c r="A9" s="30">
        <v>0.114243</v>
      </c>
      <c r="B9" s="31">
        <v>141.55968735283705</v>
      </c>
      <c r="C9" s="31">
        <v>145.754502374939</v>
      </c>
      <c r="D9" s="31">
        <v>150.40141616378827</v>
      </c>
      <c r="E9" s="31">
        <v>155.5809277697655</v>
      </c>
      <c r="F9" s="31">
        <v>161.3938532555755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40000000000</v>
      </c>
      <c r="C5" s="18">
        <v>35926000000</v>
      </c>
      <c r="D5" s="18">
        <v>32653000000</v>
      </c>
      <c r="E5" s="18">
        <v>29310000000</v>
      </c>
      <c r="F5" s="8" t="s">
        <v>84</v>
      </c>
    </row>
    <row r="6" spans="1:6" x14ac:dyDescent="0.25">
      <c r="A6" t="s">
        <v>44</v>
      </c>
      <c r="B6" s="18">
        <v>26556000000</v>
      </c>
      <c r="C6" s="18">
        <v>24057000000</v>
      </c>
      <c r="D6" s="18">
        <v>21927000000</v>
      </c>
      <c r="E6" s="18">
        <v>19681000000</v>
      </c>
      <c r="F6" s="8" t="s">
        <v>85</v>
      </c>
    </row>
    <row r="7" spans="1:6" x14ac:dyDescent="0.25">
      <c r="A7" t="s">
        <v>86</v>
      </c>
      <c r="B7" s="18">
        <v>1220000000</v>
      </c>
      <c r="C7" s="18">
        <v>1034000000</v>
      </c>
      <c r="D7" s="18">
        <v>943000000</v>
      </c>
      <c r="E7" s="18">
        <v>861000000</v>
      </c>
      <c r="F7" s="8" t="s">
        <v>87</v>
      </c>
    </row>
    <row r="8" spans="1:6" x14ac:dyDescent="0.25">
      <c r="A8" t="s">
        <v>88</v>
      </c>
      <c r="B8" s="18">
        <v>1482000000</v>
      </c>
      <c r="C8" s="18">
        <v>1257000000</v>
      </c>
      <c r="D8" s="18">
        <v>1059000000</v>
      </c>
      <c r="E8" s="18">
        <v>970000000</v>
      </c>
      <c r="F8" s="8" t="s">
        <v>89</v>
      </c>
    </row>
    <row r="9" spans="1:6" x14ac:dyDescent="0.25">
      <c r="A9" t="s">
        <v>90</v>
      </c>
      <c r="B9" s="18">
        <v>15172000000</v>
      </c>
      <c r="C9" s="18">
        <v>15432000000</v>
      </c>
      <c r="D9" s="18">
        <v>10022000000</v>
      </c>
      <c r="E9" s="18">
        <v>7657000000</v>
      </c>
      <c r="F9" s="8" t="s">
        <v>91</v>
      </c>
    </row>
    <row r="10" spans="1:6" x14ac:dyDescent="0.25">
      <c r="A10" t="s">
        <v>92</v>
      </c>
      <c r="B10" s="18">
        <v>25171000000</v>
      </c>
      <c r="C10" s="18">
        <v>20836000000</v>
      </c>
      <c r="D10" s="18">
        <v>20463000000</v>
      </c>
      <c r="E10" s="18">
        <v>22450000000</v>
      </c>
      <c r="F10" s="8" t="s">
        <v>93</v>
      </c>
    </row>
    <row r="11" spans="1:6" x14ac:dyDescent="0.25">
      <c r="A11" t="s">
        <v>94</v>
      </c>
      <c r="B11" s="18">
        <v>18997000000</v>
      </c>
      <c r="C11" s="18">
        <v>15175000000</v>
      </c>
      <c r="D11" s="18">
        <v>20128000000</v>
      </c>
      <c r="E11" s="18">
        <v>18522000000</v>
      </c>
      <c r="F11" s="8" t="s">
        <v>95</v>
      </c>
    </row>
    <row r="12" spans="1:6" x14ac:dyDescent="0.25">
      <c r="A12" t="s">
        <v>32</v>
      </c>
      <c r="B12" s="34">
        <v>2194000000</v>
      </c>
      <c r="C12" s="34">
        <v>2399000000</v>
      </c>
      <c r="D12" s="34">
        <v>2507000000</v>
      </c>
      <c r="E12" s="34">
        <v>2558000000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2026-09-19T00:06:26Z</dcterms:modified>
</cp:coreProperties>
</file>