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<sst xmlns="http://schemas.openxmlformats.org/spreadsheetml/2006/main" count="70" uniqueCount="67">
  <si>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Visa Inc. (V)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</si>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</sst>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0.84657</v>
      </c>
    </row>
    <row r="9" spans="1:2" x14ac:dyDescent="0.25">
      <c r="A9" t="s">
        <v>8</v>
      </c>
      <c r="B9" s="8">
        <f>B6+B8*B7</f>
        <v>0.08474991100000001</v>
      </c>
    </row>
    <row r="10" spans="1:2" x14ac:dyDescent="0.25">
      <c r="A10" t="s">
        <v>9</v>
      </c>
      <c r="B10" s="8">
        <f>MEDIAN('Source data'!B9:E9)</f>
        <v>0.520994069175458</v>
      </c>
    </row>
    <row r="11" spans="1:2" x14ac:dyDescent="0.25">
      <c r="A11" t="s">
        <v>10</v>
      </c>
      <c r="B11" s="8">
        <f>IFERROR(MIN(MAX(MEDIAN('Source data'!B10:E10),0),1),0)</f>
        <v>0.2207899228912826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37164000000</v>
      </c>
    </row>
    <row r="15" spans="1:2" x14ac:dyDescent="0.25">
      <c r="A15" t="s">
        <v>14</v>
      </c>
      <c r="B15" s="10">
        <f>'Source data'!B8</f>
        <v>2194000000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0.48889466225791217</v>
      </c>
      <c r="C22" s="8">
        <f>$B$10+($B$18-$B$10)*C21/$B$16</f>
        <v>0.45679525534036636</v>
      </c>
      <c r="D22" s="8">
        <f>$B$10+($B$18-$B$10)*D21/$B$16</f>
        <v>0.4246958484228206</v>
      </c>
      <c r="E22" s="8">
        <f>$B$10+($B$18-$B$10)*E21/$B$16</f>
        <v>0.3925964415052748</v>
      </c>
      <c r="F22" s="8">
        <f>$B$10+($B$18-$B$10)*F21/$B$16</f>
        <v>0.36049703458772897</v>
      </c>
      <c r="G22" s="8">
        <f>$B$10+($B$18-$B$10)*G21/$B$16</f>
        <v>0.3283976276701832</v>
      </c>
      <c r="H22" s="8">
        <f>$B$10+($B$18-$B$10)*H21/$B$16</f>
        <v>0.29629822075263745</v>
      </c>
      <c r="I22" s="8">
        <f>$B$10+($B$18-$B$10)*I21/$B$16</f>
        <v>0.2641988138350916</v>
      </c>
      <c r="J22" s="8">
        <f>$B$10+($B$18-$B$10)*J21/$B$16</f>
        <v>0.23209940691754583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37164000000</v>
      </c>
      <c r="C24" s="9">
        <f>B24*(1+B23)</f>
        <v>43946429999.99999</v>
      </c>
      <c r="D24" s="9">
        <f>C24*(1+C23)</f>
        <v>51197590949.99999</v>
      </c>
      <c r="E24" s="9">
        <f>D24*(1+D23)</f>
        <v>58749235615.12499</v>
      </c>
      <c r="F24" s="9">
        <f>E24*(1+E23)</f>
        <v>66386636245.09123</v>
      </c>
      <c r="G24" s="9">
        <f>F24*(1+F23)</f>
        <v>73855132822.664</v>
      </c>
      <c r="H24" s="9">
        <f>G24*(1+G23)</f>
        <v>80871370440.81708</v>
      </c>
      <c r="I24" s="9">
        <f>H24*(1+H23)</f>
        <v>87138901649.9804</v>
      </c>
      <c r="J24" s="9">
        <f>I24*(1+I23)</f>
        <v>92367235748.97922</v>
      </c>
      <c r="K24" s="9">
        <f>J24*(1+J23)</f>
        <v>96292843268.31084</v>
      </c>
    </row>
    <row r="25" spans="1:11" x14ac:dyDescent="0.25">
      <c r="A25" t="s">
        <v>33</v>
      </c>
      <c r="B25" s="9">
        <f>(B22-$B$9)*B24</f>
        <v>15019635535.749048</v>
      </c>
      <c r="C25" s="9">
        <f>(C22-$B$9)*C24</f>
        <v>16350064681.879803</v>
      </c>
      <c r="D25" s="9">
        <f>(D22-$B$9)*D24</f>
        <v>17404413049.287865</v>
      </c>
      <c r="E25" s="9">
        <f>(E22-$B$9)*E24</f>
        <v>18085748353.95315</v>
      </c>
      <c r="F25" s="9">
        <f>(F22-$B$9)*F24</f>
        <v>18305923989.24878</v>
      </c>
      <c r="G25" s="9">
        <f>(G22-$B$9)*G24</f>
        <v>17994634476.615185</v>
      </c>
      <c r="H25" s="9">
        <f>(H22-$B$9)*H24</f>
        <v>17108201724.134258</v>
      </c>
      <c r="I25" s="9">
        <f>(I22-$B$9)*I24</f>
        <v>15636980295.343933</v>
      </c>
      <c r="J25" s="9">
        <f>(J22-$B$9)*J24</f>
        <v>13610265626.909204</v>
      </c>
      <c r="K25" s="9">
        <f>(K22-$B$9)*K24</f>
        <v>11097758756.735874</v>
      </c>
    </row>
    <row r="26" spans="1:11" x14ac:dyDescent="0.25">
      <c r="A26" t="s">
        <v>34</v>
      </c>
      <c r="B26" s="14">
        <f>1/(1+$B$9)^B21</f>
        <v>0.921871474576226</v>
      </c>
      <c r="C26" s="14">
        <f>1/(1+$B$9)^C21</f>
        <v>0.8498470156373453</v>
      </c>
      <c r="D26" s="14">
        <f>1/(1+$B$9)^D21</f>
        <v>0.7834497214698045</v>
      </c>
      <c r="E26" s="14">
        <f>1/(1+$B$9)^E21</f>
        <v>0.7222399499877024</v>
      </c>
      <c r="F26" s="14">
        <f>1/(1+$B$9)^F21</f>
        <v>0.6658124076930229</v>
      </c>
      <c r="G26" s="14">
        <f>1/(1+$B$9)^G21</f>
        <v>0.6137934660711143</v>
      </c>
      <c r="H26" s="14">
        <f>1/(1+$B$9)^H21</f>
        <v>0.565838687652231</v>
      </c>
      <c r="I26" s="14">
        <f>1/(1+$B$9)^I21</f>
        <v>0.5216305453582387</v>
      </c>
      <c r="J26" s="14">
        <f>1/(1+$B$9)^J21</f>
        <v>0.4808763200334005</v>
      </c>
      <c r="K26" s="14">
        <f>1/(1+$B$9)^K21</f>
        <v>0.4433061622379801</v>
      </c>
    </row>
    <row r="27" spans="1:11" x14ac:dyDescent="0.25">
      <c r="A27" s="15" t="s">
        <v>35</v>
      </c>
      <c r="B27" s="16">
        <f>B25*B26</f>
        <v>13846173558.93846</v>
      </c>
      <c r="C27" s="16">
        <f>C25*C26</f>
        <v>13895053675.373112</v>
      </c>
      <c r="D27" s="16">
        <f>D25*D26</f>
        <v>13635482555.810009</v>
      </c>
      <c r="E27" s="16">
        <f>E25*E26</f>
        <v>13062249986.649294</v>
      </c>
      <c r="F27" s="16">
        <f>F25*F26</f>
        <v>12188311326.327196</v>
      </c>
      <c r="G27" s="16">
        <f>G25*G26</f>
        <v>11044989066.084406</v>
      </c>
      <c r="H27" s="16">
        <f>H25*H26</f>
        <v>9680482411.673763</v>
      </c>
      <c r="I27" s="16">
        <f>I25*I26</f>
        <v>8156726559.216289</v>
      </c>
      <c r="J27" s="16">
        <f>J25*J26</f>
        <v>6544854449.3451805</v>
      </c>
      <c r="K27" s="16">
        <f>K25*K26</f>
        <v>4919704843.891518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37164000000</v>
      </c>
    </row>
    <row r="31" spans="1:2" x14ac:dyDescent="0.25">
      <c r="A31" t="s">
        <v>38</v>
      </c>
      <c r="B31" s="9">
        <f>SUM(B27:K27)</f>
        <v>106974028433.30923</v>
      </c>
    </row>
    <row r="32" spans="1:2" x14ac:dyDescent="0.25">
      <c r="A32" t="s">
        <v>39</v>
      </c>
      <c r="B32" s="9">
        <f>K24*(1+K23)</f>
        <v>98700164350.0186</v>
      </c>
    </row>
    <row r="33" spans="1:2" x14ac:dyDescent="0.25">
      <c r="A33" t="s">
        <v>40</v>
      </c>
      <c r="B33" s="9">
        <f>(B18-B9)*B32</f>
        <v>11375202725.65427</v>
      </c>
    </row>
    <row r="34" spans="1:2" x14ac:dyDescent="0.25">
      <c r="A34" t="s">
        <v>41</v>
      </c>
      <c r="B34" s="9">
        <f>B33/(B9-B13)</f>
        <v>190380245514.5794</v>
      </c>
    </row>
    <row r="35" spans="1:2" x14ac:dyDescent="0.25">
      <c r="A35" t="s">
        <v>42</v>
      </c>
      <c r="B35" s="9">
        <f>B34*K26</f>
        <v>84396736004.99261</v>
      </c>
    </row>
    <row r="36" spans="1:2" x14ac:dyDescent="0.25">
      <c r="A36" s="15" t="s">
        <v>43</v>
      </c>
      <c r="B36" s="16">
        <f>B30+B31+B35</f>
        <v>228534764438.30185</v>
      </c>
    </row>
    <row r="37" spans="1:2" x14ac:dyDescent="0.25">
      <c r="A37" s="15" t="s">
        <v>44</v>
      </c>
      <c r="B37" s="17">
        <f>B36/B15</f>
        <v>104.16352071025608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413.59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104.16352071025608</v>
      </c>
    </row>
    <row r="43" spans="1:2" x14ac:dyDescent="0.25">
      <c r="A43" s="15" t="s">
        <v>48</v>
      </c>
      <c r="B43" s="21">
        <f>B42/B40-1</f>
        <v>-0.7481478741984668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19853000000</v>
      </c>
      <c r="C5" s="9">
        <v>19457000000</v>
      </c>
      <c r="D5" s="9">
        <v>16989000000</v>
      </c>
      <c r="E5" s="9">
        <v>14630000000</v>
      </c>
      <c r="F5" s="6" t="s">
        <v>57</v>
      </c>
    </row>
    <row r="6" spans="1:6" x14ac:dyDescent="0.25">
      <c r="A6" t="s">
        <v>37</v>
      </c>
      <c r="B6" s="9">
        <v>37164000000</v>
      </c>
      <c r="C6" s="9">
        <v>38106000000</v>
      </c>
      <c r="D6" s="9">
        <v>37035000000</v>
      </c>
      <c r="E6" s="9">
        <v>33257000000</v>
      </c>
      <c r="F6" s="6" t="s">
        <v>58</v>
      </c>
    </row>
    <row r="7" spans="1:6" x14ac:dyDescent="0.25">
      <c r="A7" t="s">
        <v>59</v>
      </c>
      <c r="B7" s="9">
        <v>4634000000</v>
      </c>
      <c r="C7" s="9">
        <v>4217000000</v>
      </c>
      <c r="D7" s="9">
        <v>3751000000</v>
      </c>
      <c r="E7" s="9">
        <v>3203000000</v>
      </c>
      <c r="F7" s="6" t="s">
        <v>60</v>
      </c>
    </row>
    <row r="8" spans="1:6" x14ac:dyDescent="0.25">
      <c r="A8" t="s">
        <v>14</v>
      </c>
      <c r="B8" s="10">
        <v>2194000000</v>
      </c>
      <c r="C8" s="10">
        <v>2399000000</v>
      </c>
      <c r="D8" s="10">
        <v>2507000000</v>
      </c>
      <c r="E8" s="10">
        <v>2558000000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0.520994069175458</v>
      </c>
      <c r="C9" s="8">
        <f>IF(AND(ISNUMBER(C5),N(D6)&gt;0),C5/D6,"")</f>
        <v>0.5253678952342379</v>
      </c>
      <c r="D9" s="8">
        <f>IF(AND(ISNUMBER(D5),N(E6)&gt;0),D5/E6,"")</f>
        <v>0.5108398231951168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0.23341560469450462</v>
      </c>
      <c r="C10" s="8">
        <f>IF(AND(ISNUMBER(C9),N(C5)&gt;0,ISNUMBER(C7)),C7/C5,"")</f>
        <v>0.21673433725651436</v>
      </c>
      <c r="D10" s="8">
        <f>IF(AND(ISNUMBER(D9),N(D5)&gt;0,ISNUMBER(D7)),D7/D5,"")</f>
        <v>0.2207899228912826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