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<sst xmlns="http://schemas.openxmlformats.org/spreadsheetml/2006/main" count="120" uniqueCount="107">
  <si>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Venture Corporation Limited (V03.SI)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</si>
  <si>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</si>
  <si>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</si>
  <si>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</si>
  <si>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</si>
  <si>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</si>
  <si>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</si>
  <si>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</si>
  <si>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</si>
  <si>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</si>
  <si>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</si>
  <si>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</si>
  <si>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</si>
  <si>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</si>
  <si>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</si>
  <si>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</si>
  <si>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</si>
  <si>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</si>
  <si>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</si>
  <si>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</si>
  <si>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</si>
  <si>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</si>
  <si>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</si>
  <si>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</si>
  <si>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Risk-free + 40bp, the spread for a AAA rating at 247.5x interest cover. Book interest / average debt was lower, at 3.9%.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</si>
  <si>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</si>
  <si>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</si>
  <si>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</si>
  <si>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</si>
  <si>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</si>
  <si>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</si>
  <si>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</si>
  <si>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</si>
  <si>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</si>
  <si>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</si>
  <si>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</si>
  <si>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</si>
  <si>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</si>
  <si>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</si>
  <si>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</si>
  <si>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</si>
  <si>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</si>
  <si>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</si>
  <si>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</si>
  <si>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</si>
  <si>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</si>
  <si>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</si>
  <si>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</si>
  <si>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</si>
  <si>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</si>
  <si>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</si>
  <si>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</si>
  <si>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</si>
  <si>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</si>
  <si>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</si>
  <si>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</si>
  <si>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</si>
  <si>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</si>
  <si>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</si>
  <si>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</si>
  <si>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</si>
  <si>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(SGD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</si>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</sst>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0.08385622959287642</v>
      </c>
    </row>
    <row r="7" spans="1:2" x14ac:dyDescent="0.25">
      <c r="A7" t="s">
        <v>4</v>
      </c>
      <c r="B7" s="5">
        <v>0.10068893690842134</v>
      </c>
    </row>
    <row r="8" spans="1:2" x14ac:dyDescent="0.25">
      <c r="A8" t="s">
        <v>5</v>
      </c>
      <c r="B8" s="5">
        <v>0.18996786359817094</v>
      </c>
    </row>
    <row r="9" spans="1:2" x14ac:dyDescent="0.25">
      <c r="A9" t="s">
        <v>6</v>
      </c>
      <c r="B9" s="5">
        <v>0.011069925398446489</v>
      </c>
    </row>
    <row r="10" spans="1:3" x14ac:dyDescent="0.25">
      <c r="A10" t="s">
        <v>7</v>
      </c>
      <c r="B10" s="5">
        <v>0.010438460232417797</v>
      </c>
      <c r="C10" s="6" t="s">
        <v>8</v>
      </c>
    </row>
    <row r="11" spans="1:2" x14ac:dyDescent="0.25">
      <c r="A11" t="s">
        <v>9</v>
      </c>
      <c r="B11" s="5">
        <v>0.3497646106833099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11.065095139998773</v>
      </c>
    </row>
    <row r="14" spans="1:3" x14ac:dyDescent="0.25">
      <c r="A14" t="s">
        <v>12</v>
      </c>
      <c r="B14" s="5">
        <v>0.08930054839006162</v>
      </c>
      <c r="C14" s="6" t="s">
        <v>13</v>
      </c>
    </row>
    <row r="15" spans="1:3" x14ac:dyDescent="0.25">
      <c r="A15" t="s">
        <v>14</v>
      </c>
      <c r="B15" s="5">
        <v>0.010917372727729227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0.042</v>
      </c>
      <c r="C17" s="6" t="s">
        <v>18</v>
      </c>
    </row>
    <row r="18" spans="1:2" x14ac:dyDescent="0.25">
      <c r="A18" t="s">
        <v>19</v>
      </c>
      <c r="B18" s="5">
        <v>0.065</v>
      </c>
    </row>
    <row r="19" spans="1:3" x14ac:dyDescent="0.25">
      <c r="A19" t="s">
        <v>20</v>
      </c>
      <c r="B19" s="8">
        <v>0.73133</v>
      </c>
      <c r="C19" s="6" t="s">
        <v>21</v>
      </c>
    </row>
    <row r="20" spans="1:2" x14ac:dyDescent="0.25">
      <c r="A20" t="s">
        <v>22</v>
      </c>
      <c r="B20" s="9">
        <f>B17+B19*B18</f>
        <v>0.08953645</v>
      </c>
    </row>
    <row r="21" spans="1:3" x14ac:dyDescent="0.25">
      <c r="A21" t="s">
        <v>23</v>
      </c>
      <c r="B21" s="5">
        <v>0.046</v>
      </c>
      <c r="C21" s="6" t="s">
        <v>24</v>
      </c>
    </row>
    <row r="22" spans="1:2" x14ac:dyDescent="0.25">
      <c r="A22" t="s">
        <v>25</v>
      </c>
      <c r="B22" s="10">
        <v>4330971136</v>
      </c>
    </row>
    <row r="23" spans="1:2" x14ac:dyDescent="0.25">
      <c r="A23" t="s">
        <v>26</v>
      </c>
      <c r="B23" s="10">
        <v>19633000</v>
      </c>
    </row>
    <row r="24" spans="1:2" x14ac:dyDescent="0.25">
      <c r="A24" t="s">
        <v>27</v>
      </c>
      <c r="B24" s="9">
        <f>B22/(B22+B23)</f>
        <v>0.9954872933996586</v>
      </c>
    </row>
    <row r="25" spans="1:2" x14ac:dyDescent="0.25">
      <c r="A25" t="s">
        <v>28</v>
      </c>
      <c r="B25" s="9">
        <f>1-B24</f>
        <v>0.004512706600341421</v>
      </c>
    </row>
    <row r="26" spans="1:2" x14ac:dyDescent="0.25">
      <c r="A26" t="s">
        <v>29</v>
      </c>
      <c r="B26" s="11">
        <f>B24*B20+B25*B21*(1-B8)</f>
        <v>0.08930054839006162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2532204000</v>
      </c>
      <c r="C29" s="6" t="s">
        <v>32</v>
      </c>
    </row>
    <row r="30" spans="1:2" x14ac:dyDescent="0.25">
      <c r="A30" t="s">
        <v>33</v>
      </c>
      <c r="B30" s="10">
        <v>-1263937000</v>
      </c>
    </row>
    <row r="31" spans="1:2" x14ac:dyDescent="0.25">
      <c r="A31" t="s">
        <v>34</v>
      </c>
      <c r="B31" s="12">
        <v>289868000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0.08385622959287642</v>
      </c>
      <c r="C5" s="5">
        <v>0.06611946778443878</v>
      </c>
      <c r="D5" s="5">
        <v>0.060979534311383934</v>
      </c>
      <c r="E5" s="5">
        <v>0.05583960083832908</v>
      </c>
      <c r="F5" s="5">
        <v>0.05069966736527424</v>
      </c>
      <c r="G5" s="5">
        <v>0.04555973389221939</v>
      </c>
      <c r="H5" s="5">
        <v>0.04041980041916454</v>
      </c>
      <c r="I5" s="5">
        <v>0.0352798669461097</v>
      </c>
      <c r="J5" s="5">
        <v>0.030139933473054846</v>
      </c>
      <c r="K5" s="5">
        <v>0.025</v>
      </c>
    </row>
    <row r="6" spans="1:11" x14ac:dyDescent="0.25">
      <c r="A6" t="s">
        <v>50</v>
      </c>
      <c r="B6" s="18">
        <f>Assumptions!B29*(1+B5)</f>
        <v>2744545080</v>
      </c>
      <c r="C6" s="18">
        <f>B6*(1+C5)</f>
        <v>2926012940</v>
      </c>
      <c r="D6" s="18">
        <f>C6*(1+D5)</f>
        <v>3104439846.4702835</v>
      </c>
      <c r="E6" s="18">
        <f>D6*(1+E5)</f>
        <v>3277790528.3237877</v>
      </c>
      <c r="F6" s="18">
        <f>E6*(1+F5)</f>
        <v>3443973417.8028502</v>
      </c>
      <c r="G6" s="18">
        <f>F6*(1+G5)</f>
        <v>3600879930.2498255</v>
      </c>
      <c r="H6" s="18">
        <f>G6*(1+H5)</f>
        <v>3746426778.3638983</v>
      </c>
      <c r="I6" s="18">
        <f>H6*(1+I5)</f>
        <v>3878600216.6279187</v>
      </c>
      <c r="J6" s="18">
        <f>I6*(1+J5)</f>
        <v>3995500969.12566</v>
      </c>
      <c r="K6" s="18">
        <f>J6*(1+K5)</f>
        <v>4095388493.3538013</v>
      </c>
    </row>
    <row r="7" spans="1:11" x14ac:dyDescent="0.25">
      <c r="A7" t="s">
        <v>4</v>
      </c>
      <c r="B7" s="9">
        <f>Assumptions!B7</f>
        <v>0.10068893690842134</v>
      </c>
      <c r="C7" s="9">
        <f>Assumptions!B7</f>
        <v>0.10068893690842134</v>
      </c>
      <c r="D7" s="9">
        <f>Assumptions!B7</f>
        <v>0.10068893690842134</v>
      </c>
      <c r="E7" s="9">
        <f>Assumptions!B7</f>
        <v>0.10068893690842134</v>
      </c>
      <c r="F7" s="9">
        <f>Assumptions!B7</f>
        <v>0.10068893690842134</v>
      </c>
      <c r="G7" s="9">
        <f>Assumptions!B7</f>
        <v>0.10068893690842134</v>
      </c>
      <c r="H7" s="9">
        <f>Assumptions!B7</f>
        <v>0.10068893690842134</v>
      </c>
      <c r="I7" s="9">
        <f>Assumptions!B7</f>
        <v>0.10068893690842134</v>
      </c>
      <c r="J7" s="9">
        <f>Assumptions!B7</f>
        <v>0.10068893690842134</v>
      </c>
      <c r="K7" s="9">
        <f>Assumptions!B7</f>
        <v>0.10068893690842134</v>
      </c>
    </row>
    <row r="8" spans="1:11" x14ac:dyDescent="0.25">
      <c r="A8" t="s">
        <v>51</v>
      </c>
      <c r="B8" s="18">
        <f>B6*B7</f>
        <v>276345326.4024382</v>
      </c>
      <c r="C8" s="18">
        <f>C6*C7</f>
        <v>294617132.30888444</v>
      </c>
      <c r="D8" s="18">
        <f>D6*D7</f>
        <v>312582747.8372356</v>
      </c>
      <c r="E8" s="18">
        <f>E6*E7</f>
        <v>330037243.70541495</v>
      </c>
      <c r="F8" s="18">
        <f>F6*F7</f>
        <v>346770022.17943144</v>
      </c>
      <c r="G8" s="18">
        <f>G6*G7</f>
        <v>362568772.11172533</v>
      </c>
      <c r="H8" s="18">
        <f>H6*H7</f>
        <v>377223729.5187028</v>
      </c>
      <c r="I8" s="18">
        <f>I6*I7</f>
        <v>390532132.50503784</v>
      </c>
      <c r="J8" s="18">
        <f>J6*J7</f>
        <v>402302744.9978299</v>
      </c>
      <c r="K8" s="18">
        <f>K6*K7</f>
        <v>412360313.6227756</v>
      </c>
    </row>
    <row r="9" spans="1:11" x14ac:dyDescent="0.25">
      <c r="A9" t="s">
        <v>52</v>
      </c>
      <c r="B9" s="18">
        <f>B8*(1-Assumptions!B8)</f>
        <v>223848595.1304278</v>
      </c>
      <c r="C9" s="18">
        <f>C8*(1-Assumptions!B8)</f>
        <v>238649345.10474598</v>
      </c>
      <c r="D9" s="18">
        <f>D8*(1-Assumptions!B8)</f>
        <v>253202071.0329502</v>
      </c>
      <c r="E9" s="18">
        <f>E8*(1-Assumptions!B8)</f>
        <v>267340773.61086836</v>
      </c>
      <c r="F9" s="18">
        <f>F8*(1-Assumptions!B8)</f>
        <v>280894861.90611446</v>
      </c>
      <c r="G9" s="18">
        <f>G8*(1-Assumptions!B8)</f>
        <v>293692357.0662488</v>
      </c>
      <c r="H9" s="18">
        <f>H8*(1-Assumptions!B8)</f>
        <v>305563343.5235005</v>
      </c>
      <c r="I9" s="18">
        <f>I8*(1-Assumptions!B8)</f>
        <v>316343577.62661797</v>
      </c>
      <c r="J9" s="18">
        <f>J8*(1-Assumptions!B8)</f>
        <v>325878152.0109124</v>
      </c>
      <c r="K9" s="18">
        <f>K8*(1-Assumptions!B8)</f>
        <v>334025105.8111852</v>
      </c>
    </row>
    <row r="10" spans="1:11" x14ac:dyDescent="0.25">
      <c r="A10" t="s">
        <v>53</v>
      </c>
      <c r="B10" s="18">
        <f>B6*Assumptions!B9</f>
        <v>30381909.28827335</v>
      </c>
      <c r="C10" s="18">
        <f>C6*Assumptions!B9</f>
        <v>32390744.960689083</v>
      </c>
      <c r="D10" s="18">
        <f>D6*Assumptions!B9</f>
        <v>34365917.50439071</v>
      </c>
      <c r="E10" s="18">
        <f>E6*Assumptions!B9</f>
        <v>36284896.620278835</v>
      </c>
      <c r="F10" s="18">
        <f>F6*Assumptions!B9</f>
        <v>38124528.80931033</v>
      </c>
      <c r="G10" s="18">
        <f>G6*Assumptions!B9</f>
        <v>39861472.196628764</v>
      </c>
      <c r="H10" s="18">
        <f>H6*Assumptions!B9</f>
        <v>41472664.94723057</v>
      </c>
      <c r="I10" s="18">
        <f>I6*Assumptions!B9</f>
        <v>42935815.048469454</v>
      </c>
      <c r="J10" s="18">
        <f>J6*Assumptions!B9</f>
        <v>44229897.6576417</v>
      </c>
      <c r="K10" s="18">
        <f>K6*Assumptions!B9</f>
        <v>45335645.099082746</v>
      </c>
    </row>
    <row r="11" spans="1:11" x14ac:dyDescent="0.25">
      <c r="A11" t="s">
        <v>54</v>
      </c>
      <c r="B11" s="18">
        <f>-B6*B19</f>
        <v>-28648824.67365792</v>
      </c>
      <c r="C11" s="18">
        <f>-C6*C19</f>
        <v>-38133430.25657351</v>
      </c>
      <c r="D11" s="18">
        <f>-D6*D19</f>
        <v>-48512006.26931675</v>
      </c>
      <c r="E11" s="18">
        <f>-E6*E19</f>
        <v>-59723802.962841086</v>
      </c>
      <c r="F11" s="18">
        <f>-F6*F19</f>
        <v>-71685780.02138206</v>
      </c>
      <c r="G11" s="18">
        <f>-G6*G19</f>
        <v>-84292795.86535947</v>
      </c>
      <c r="H11" s="18">
        <f>-H6*H19</f>
        <v>-97418487.23328947</v>
      </c>
      <c r="I11" s="18">
        <f>-I6*I19</f>
        <v>-110916862.56468013</v>
      </c>
      <c r="J11" s="18">
        <f>-J6*J19</f>
        <v>-124624605.3446502</v>
      </c>
      <c r="K11" s="18">
        <f>-K6*K19</f>
        <v>-138364054.29752788</v>
      </c>
    </row>
    <row r="12" spans="1:11" x14ac:dyDescent="0.25">
      <c r="A12" t="s">
        <v>55</v>
      </c>
      <c r="B12" s="18">
        <f>-(B6-Assumptions!B29)*Assumptions!B11</f>
        <v>-74269395.17827356</v>
      </c>
      <c r="C12" s="18">
        <f>-(C6-B6)*Assumptions!B11</f>
        <v>-63471035.404433385</v>
      </c>
      <c r="D12" s="18">
        <f>-(D6-C6)*Assumptions!B11</f>
        <v>-62407417.477006055</v>
      </c>
      <c r="E12" s="18">
        <f>-(E6-D6)*Assumptions!B11</f>
        <v>-60631933.750177205</v>
      </c>
      <c r="F12" s="18">
        <f>-(F6-E6)*Assumptions!B11</f>
        <v>-58124893.64087183</v>
      </c>
      <c r="G12" s="18">
        <f>-(G6-F6)*Assumptions!B11</f>
        <v>-54880345.23969221</v>
      </c>
      <c r="H12" s="18">
        <f>-(H6-G6)*Assumptions!B11</f>
        <v>-50907136.666801505</v>
      </c>
      <c r="I12" s="18">
        <f>-(I6-H6)*Assumptions!B11</f>
        <v>-46229591.1770896</v>
      </c>
      <c r="J12" s="18">
        <f>-(J6-I6)*Assumptions!B11</f>
        <v>-40887746.18595842</v>
      </c>
      <c r="K12" s="18">
        <f>-(K6-J6)*Assumptions!B11</f>
        <v>-34937121.023775525</v>
      </c>
    </row>
    <row r="13" spans="1:11" x14ac:dyDescent="0.25">
      <c r="A13" s="19" t="s">
        <v>56</v>
      </c>
      <c r="B13" s="20">
        <f>B9+B10+B11+B12</f>
        <v>151312284.5667697</v>
      </c>
      <c r="C13" s="20">
        <f>C9+C10+C11+C12</f>
        <v>169435624.40442818</v>
      </c>
      <c r="D13" s="20">
        <f>D9+D10+D11+D12</f>
        <v>176648564.7910181</v>
      </c>
      <c r="E13" s="20">
        <f>E9+E10+E11+E12</f>
        <v>183269933.51812887</v>
      </c>
      <c r="F13" s="20">
        <f>F9+F10+F11+F12</f>
        <v>189208717.0531709</v>
      </c>
      <c r="G13" s="20">
        <f>G9+G10+G11+G12</f>
        <v>194380688.15782583</v>
      </c>
      <c r="H13" s="20">
        <f>H9+H10+H11+H12</f>
        <v>198710384.5706401</v>
      </c>
      <c r="I13" s="20">
        <f>I9+I10+I11+I12</f>
        <v>202132938.93331772</v>
      </c>
      <c r="J13" s="20">
        <f>J9+J10+J11+J12</f>
        <v>204595698.1379455</v>
      </c>
      <c r="K13" s="20">
        <f>K9+K10+K11+K12</f>
        <v>206059575.58896455</v>
      </c>
    </row>
    <row r="14" spans="1:11" x14ac:dyDescent="0.25">
      <c r="A14" t="s">
        <v>57</v>
      </c>
      <c r="B14" s="21">
        <f>1/(1+Assumptions!$B$26)^(1-0.5*Assumptions!$B$32)</f>
        <v>0.9581337511573034</v>
      </c>
      <c r="C14" s="21">
        <f>1/(1+Assumptions!$B$26)^(2-0.5*Assumptions!$B$32)</f>
        <v>0.8795862194078421</v>
      </c>
      <c r="D14" s="21">
        <f>1/(1+Assumptions!$B$26)^(3-0.5*Assumptions!$B$32)</f>
        <v>0.807477991916769</v>
      </c>
      <c r="E14" s="21">
        <f>1/(1+Assumptions!$B$26)^(4-0.5*Assumptions!$B$32)</f>
        <v>0.7412811763568705</v>
      </c>
      <c r="F14" s="21">
        <f>1/(1+Assumptions!$B$26)^(5-0.5*Assumptions!$B$32)</f>
        <v>0.6805111568634126</v>
      </c>
      <c r="G14" s="21">
        <f>1/(1+Assumptions!$B$26)^(6-0.5*Assumptions!$B$32)</f>
        <v>0.6247230462420846</v>
      </c>
      <c r="H14" s="21">
        <f>1/(1+Assumptions!$B$26)^(7-0.5*Assumptions!$B$32)</f>
        <v>0.5735084290239254</v>
      </c>
      <c r="I14" s="21">
        <f>1/(1+Assumptions!$B$26)^(8-0.5*Assumptions!$B$32)</f>
        <v>0.526492371523677</v>
      </c>
      <c r="J14" s="21">
        <f>1/(1+Assumptions!$B$26)^(9-0.5*Assumptions!$B$32)</f>
        <v>0.48333067701270294</v>
      </c>
      <c r="K14" s="21">
        <f>1/(1+Assumptions!$B$26)^(10-0.5*Assumptions!$B$32)</f>
        <v>0.44370736591204746</v>
      </c>
    </row>
    <row r="15" spans="1:11" x14ac:dyDescent="0.25">
      <c r="A15" s="19" t="s">
        <v>58</v>
      </c>
      <c r="B15" s="20">
        <f>B13*B14</f>
        <v>144977406.8081404</v>
      </c>
      <c r="C15" s="20">
        <f>C13*C14</f>
        <v>149033240.30289808</v>
      </c>
      <c r="D15" s="20">
        <f>D13*D14</f>
        <v>142639828.37243053</v>
      </c>
      <c r="E15" s="20">
        <f>E13*E14</f>
        <v>135854551.909164</v>
      </c>
      <c r="F15" s="20">
        <f>F13*F14</f>
        <v>128758642.93049543</v>
      </c>
      <c r="G15" s="20">
        <f>G13*G14</f>
        <v>121434095.63658966</v>
      </c>
      <c r="H15" s="20">
        <f>H13*H14</f>
        <v>113962080.48584786</v>
      </c>
      <c r="I15" s="20">
        <f>I13*I14</f>
        <v>106421450.38205303</v>
      </c>
      <c r="J15" s="20">
        <f>J13*J14</f>
        <v>98887377.2948998</v>
      </c>
      <c r="K15" s="20">
        <f>K13*K14</f>
        <v>91430151.50553389</v>
      </c>
    </row>
    <row r="17" spans="1:2" x14ac:dyDescent="0.25">
      <c r="A17" s="22" t="s">
        <v>59</v>
      </c>
      <c r="B17" s="23">
        <f>SUM(B15:K15)</f>
        <v>1233398825.6280525</v>
      </c>
    </row>
    <row r="19" spans="1:11" x14ac:dyDescent="0.25">
      <c r="A19" t="s">
        <v>7</v>
      </c>
      <c r="B19" s="9">
        <f>Assumptions!$B$10+($B$20-Assumptions!$B$10)*0/9</f>
        <v>0.010438460232417797</v>
      </c>
      <c r="C19" s="9">
        <f>Assumptions!$B$10+($B$20-Assumptions!$B$10)*1/9</f>
        <v>0.013032556943023469</v>
      </c>
      <c r="D19" s="9">
        <f>Assumptions!$B$10+($B$20-Assumptions!$B$10)*2/9</f>
        <v>0.01562665365362914</v>
      </c>
      <c r="E19" s="9">
        <f>Assumptions!$B$10+($B$20-Assumptions!$B$10)*3/9</f>
        <v>0.018220750364234817</v>
      </c>
      <c r="F19" s="9">
        <f>Assumptions!$B$10+($B$20-Assumptions!$B$10)*4/9</f>
        <v>0.02081484707484049</v>
      </c>
      <c r="G19" s="9">
        <f>Assumptions!$B$10+($B$20-Assumptions!$B$10)*5/9</f>
        <v>0.023408943785446164</v>
      </c>
      <c r="H19" s="9">
        <f>Assumptions!$B$10+($B$20-Assumptions!$B$10)*6/9</f>
        <v>0.026003040496051837</v>
      </c>
      <c r="I19" s="9">
        <f>Assumptions!$B$10+($B$20-Assumptions!$B$10)*7/9</f>
        <v>0.02859713720665751</v>
      </c>
      <c r="J19" s="9">
        <f>Assumptions!$B$10+($B$20-Assumptions!$B$10)*8/9</f>
        <v>0.03119123391726318</v>
      </c>
      <c r="K19" s="9">
        <f>Assumptions!$B$10+($B$20-Assumptions!$B$10)*9/9</f>
        <v>0.033785330627868856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0.033785330627868856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206059575.58896455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334531183.475154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0.279953487976366</v>
      </c>
    </row>
    <row r="7" spans="1:2" x14ac:dyDescent="0.25">
      <c r="A7" t="s">
        <v>66</v>
      </c>
      <c r="B7" s="18">
        <f>-MAX(B5,0)*B6</f>
        <v>-93653171.65073101</v>
      </c>
    </row>
    <row r="8" spans="1:2" x14ac:dyDescent="0.25">
      <c r="A8" t="s">
        <v>67</v>
      </c>
      <c r="B8" s="18">
        <f>IF(OR(Assumptions!$B$33=0,Assumptions!B12&lt;=0),B5,MAX(B5+B7,0))</f>
        <v>240878011.82442296</v>
      </c>
    </row>
    <row r="9" spans="1:2" x14ac:dyDescent="0.25">
      <c r="A9" t="s">
        <v>68</v>
      </c>
      <c r="B9" s="18">
        <f>B8*(1+Assumptions!B12)/(Assumptions!B26-Assumptions!B12)</f>
        <v>3839780037.6799703</v>
      </c>
    </row>
    <row r="10" spans="1:2" x14ac:dyDescent="0.25">
      <c r="A10" t="s">
        <v>69</v>
      </c>
      <c r="B10" s="18">
        <f>B9/(1+Assumptions!B26)^(10-0.5*Assumptions!B32)</f>
        <v>1703738686.2006419</v>
      </c>
    </row>
    <row r="11" spans="1:2" x14ac:dyDescent="0.25">
      <c r="A11" t="s">
        <v>70</v>
      </c>
      <c r="B11" s="18">
        <f>Forecast!B17+B10</f>
        <v>2937137511.8286943</v>
      </c>
    </row>
    <row r="12" spans="1:2" x14ac:dyDescent="0.25">
      <c r="A12" t="s">
        <v>71</v>
      </c>
      <c r="B12" s="18">
        <f>-Assumptions!B30</f>
        <v>1263937000</v>
      </c>
    </row>
    <row r="13" spans="1:2" x14ac:dyDescent="0.25">
      <c r="A13" t="s">
        <v>72</v>
      </c>
      <c r="B13" s="18">
        <f>B11+B12</f>
        <v>4201074511.8286943</v>
      </c>
    </row>
    <row r="14" spans="1:2" x14ac:dyDescent="0.25">
      <c r="A14" s="19" t="s">
        <v>73</v>
      </c>
      <c r="B14" s="24">
        <f>B13/Assumptions!B31</f>
        <v>14.493060675302877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457695958.7218584</v>
      </c>
    </row>
    <row r="18" spans="1:2" x14ac:dyDescent="0.25">
      <c r="A18" t="s">
        <v>68</v>
      </c>
      <c r="B18" s="18">
        <f>B17*Assumptions!B13</f>
        <v>5064449328.4503145</v>
      </c>
    </row>
    <row r="19" spans="1:2" x14ac:dyDescent="0.25">
      <c r="A19" t="s">
        <v>69</v>
      </c>
      <c r="B19" s="18">
        <f>B18/(1+Assumptions!B26)^(10-0.5*Assumptions!B32)</f>
        <v>2247133471.321727</v>
      </c>
    </row>
    <row r="20" spans="1:2" x14ac:dyDescent="0.25">
      <c r="A20" t="s">
        <v>70</v>
      </c>
      <c r="B20" s="18">
        <f>Forecast!B17+B19</f>
        <v>3480532296.9497795</v>
      </c>
    </row>
    <row r="21" spans="1:2" x14ac:dyDescent="0.25">
      <c r="A21" t="s">
        <v>71</v>
      </c>
      <c r="B21" s="18">
        <f>-Assumptions!B30</f>
        <v>1263937000</v>
      </c>
    </row>
    <row r="22" spans="1:2" x14ac:dyDescent="0.25">
      <c r="A22" t="s">
        <v>72</v>
      </c>
      <c r="B22" s="18">
        <f>B20+B21</f>
        <v>4744469296.9497795</v>
      </c>
    </row>
    <row r="23" spans="1:2" x14ac:dyDescent="0.25">
      <c r="A23" s="19" t="s">
        <v>73</v>
      </c>
      <c r="B23" s="25">
        <f>B22/Assumptions!B31</f>
        <v>16.36768907554397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15.07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14.493060675302877</v>
      </c>
    </row>
    <row r="29" spans="1:2" x14ac:dyDescent="0.25">
      <c r="A29" s="19" t="s">
        <v>81</v>
      </c>
      <c r="B29" s="11">
        <f>B28/B26-1</f>
        <v>-0.03828396315176663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0.069301</v>
      </c>
      <c r="B5" s="31">
        <v>18.556096145605167</v>
      </c>
      <c r="C5" s="31">
        <v>18.5374912821496</v>
      </c>
      <c r="D5" s="31">
        <v>18.553619370493813</v>
      </c>
      <c r="E5" s="31">
        <v>18.617736925153896</v>
      </c>
      <c r="F5" s="31">
        <v>18.750829981369005</v>
      </c>
    </row>
    <row r="6" spans="1:6" x14ac:dyDescent="0.25">
      <c r="A6" s="30">
        <v>0.079301</v>
      </c>
      <c r="B6" s="31">
        <v>16.23972140395935</v>
      </c>
      <c r="C6" s="31">
        <v>16.076752279626074</v>
      </c>
      <c r="D6" s="31">
        <v>15.913794817941788</v>
      </c>
      <c r="E6" s="31">
        <v>15.750852567307836</v>
      </c>
      <c r="F6" s="31">
        <v>15.587930678076464</v>
      </c>
    </row>
    <row r="7" spans="1:6" x14ac:dyDescent="0.25">
      <c r="A7" s="30">
        <v>0.089301</v>
      </c>
      <c r="B7" s="31">
        <v>14.766960733734546</v>
      </c>
      <c r="C7" s="31">
        <v>14.629982340539838</v>
      </c>
      <c r="D7" s="32">
        <v>14.493003947345127</v>
      </c>
      <c r="E7" s="31">
        <v>14.35602555415042</v>
      </c>
      <c r="F7" s="31">
        <v>14.219047160955709</v>
      </c>
    </row>
    <row r="8" spans="1:6" x14ac:dyDescent="0.25">
      <c r="A8" s="30">
        <v>0.099301</v>
      </c>
      <c r="B8" s="31">
        <v>13.601115976374786</v>
      </c>
      <c r="C8" s="31">
        <v>13.484477307792373</v>
      </c>
      <c r="D8" s="31">
        <v>13.367838639209962</v>
      </c>
      <c r="E8" s="31">
        <v>13.251199970627551</v>
      </c>
      <c r="F8" s="31">
        <v>13.134561302045137</v>
      </c>
    </row>
    <row r="9" spans="1:6" x14ac:dyDescent="0.25">
      <c r="A9" s="30">
        <v>0.109301</v>
      </c>
      <c r="B9" s="31">
        <v>12.657040139182357</v>
      </c>
      <c r="C9" s="31">
        <v>12.556620193443619</v>
      </c>
      <c r="D9" s="31">
        <v>12.456200247704885</v>
      </c>
      <c r="E9" s="31">
        <v>12.355780301966147</v>
      </c>
      <c r="F9" s="31">
        <v>12.255360356227413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2532204000</v>
      </c>
      <c r="C5" s="18">
        <v>2734236000</v>
      </c>
      <c r="D5" s="18">
        <v>3025028000</v>
      </c>
      <c r="E5" s="18">
        <v>3862673000</v>
      </c>
      <c r="F5" s="6" t="s">
        <v>91</v>
      </c>
    </row>
    <row r="6" spans="1:6" x14ac:dyDescent="0.25">
      <c r="A6" t="s">
        <v>51</v>
      </c>
      <c r="B6" s="18">
        <v>243297000</v>
      </c>
      <c r="C6" s="18">
        <v>260545000</v>
      </c>
      <c r="D6" s="18">
        <v>299432000</v>
      </c>
      <c r="E6" s="18">
        <v>434164000</v>
      </c>
      <c r="F6" s="6" t="s">
        <v>92</v>
      </c>
    </row>
    <row r="7" spans="1:6" x14ac:dyDescent="0.25">
      <c r="A7" t="s">
        <v>93</v>
      </c>
      <c r="B7" s="18">
        <v>33884000</v>
      </c>
      <c r="C7" s="18">
        <v>32775000</v>
      </c>
      <c r="D7" s="18">
        <v>31481000</v>
      </c>
      <c r="E7" s="18">
        <v>32851000</v>
      </c>
      <c r="F7" s="6" t="s">
        <v>94</v>
      </c>
    </row>
    <row r="8" spans="1:6" x14ac:dyDescent="0.25">
      <c r="A8" t="s">
        <v>95</v>
      </c>
      <c r="B8" s="18">
        <v>28061000</v>
      </c>
      <c r="C8" s="18">
        <v>16772000</v>
      </c>
      <c r="D8" s="18">
        <v>47918000</v>
      </c>
      <c r="E8" s="18">
        <v>33596000</v>
      </c>
      <c r="F8" s="6" t="s">
        <v>96</v>
      </c>
    </row>
    <row r="9" spans="1:6" x14ac:dyDescent="0.25">
      <c r="A9" t="s">
        <v>97</v>
      </c>
      <c r="B9" s="18">
        <v>-26864000</v>
      </c>
      <c r="C9" s="18">
        <v>-247761000</v>
      </c>
      <c r="D9" s="18">
        <v>-263357000</v>
      </c>
      <c r="E9" s="18">
        <v>152566000</v>
      </c>
      <c r="F9" s="6" t="s">
        <v>98</v>
      </c>
    </row>
    <row r="10" spans="1:6" x14ac:dyDescent="0.25">
      <c r="A10" t="s">
        <v>99</v>
      </c>
      <c r="B10" s="18">
        <v>19633000</v>
      </c>
      <c r="C10" s="18">
        <v>30253000</v>
      </c>
      <c r="D10" s="18">
        <v>27526000</v>
      </c>
      <c r="E10" s="18">
        <v>24285000</v>
      </c>
      <c r="F10" s="6" t="s">
        <v>100</v>
      </c>
    </row>
    <row r="11" spans="1:6" x14ac:dyDescent="0.25">
      <c r="A11" t="s">
        <v>101</v>
      </c>
      <c r="B11" s="18">
        <v>1283570000</v>
      </c>
      <c r="C11" s="18">
        <v>1316706000</v>
      </c>
      <c r="D11" s="18">
        <v>1056303000</v>
      </c>
      <c r="E11" s="18">
        <v>812593000</v>
      </c>
      <c r="F11" s="6" t="s">
        <v>102</v>
      </c>
    </row>
    <row r="12" spans="1:6" x14ac:dyDescent="0.25">
      <c r="A12" t="s">
        <v>34</v>
      </c>
      <c r="B12" s="34">
        <v>289868000</v>
      </c>
      <c r="C12" s="34">
        <v>290398000</v>
      </c>
      <c r="D12" s="34">
        <v>291595032</v>
      </c>
      <c r="E12" s="34">
        <v>291528000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