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<sst xmlns="http://schemas.openxmlformats.org/spreadsheetml/2006/main" count="114" uniqueCount="102">
  <si>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Vault Minerals Limited (VAU.AX)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</si>
  <si>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</si>
  <si>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</si>
  <si>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</si>
  <si>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</si>
  <si>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</si>
  <si>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</si>
  <si>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</si>
  <si>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</si>
  <si>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</si>
  <si>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</si>
  <si>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</si>
  <si>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</si>
  <si>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</si>
  <si>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</si>
  <si>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</si>
  <si>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</si>
  <si>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</si>
  <si>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</si>
  <si>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</si>
  <si>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</si>
  <si>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</si>
  <si>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180.2%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</si>
  <si>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</si>
  <si>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</si>
  <si>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</si>
  <si>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</si>
  <si>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</si>
  <si>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</si>
  <si>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</si>
  <si>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</si>
  <si>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</si>
  <si>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</si>
  <si>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</si>
  <si>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</si>
  <si>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</si>
  <si>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</si>
  <si>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</si>
  <si>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</si>
  <si>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</si>
  <si>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</si>
  <si>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</si>
  <si>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</si>
  <si>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</si>
  <si>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</si>
  <si>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</si>
  <si>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</si>
  <si>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</si>
  <si>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</si>
  <si>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</si>
  <si>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</si>
  <si>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</si>
  <si>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</si>
  <si>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</si>
  <si>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</si>
  <si>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</si>
  <si>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</si>
  <si>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</si>
  <si>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</si>
  <si>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</si>
  <si>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</si>
  <si>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</si>
  <si>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</si>
  <si>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</si>
  <si>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</si>
  <si>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</si>
  <si>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</si>
  <si>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</si>
  <si>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</si>
  <si>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</si>
  <si>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</si>
  <si>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</si>
  <si>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</si>
  <si>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</si>
  <si>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</si>
  <si>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</si>
  <si>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</si>
  <si>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</si>
  <si>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</si>
  <si>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</si>
  <si>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</si>
  <si>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</si>
  <si>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</si>
  <si>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</si>
  <si>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</si>
  <si>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</si>
  <si>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</si>
  <si>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</si>
  <si>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</si>
  <si>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</si>
  <si>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</si>
  <si>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</si>
  <si>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</si>
  <si>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</si>
  <si>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</si>
  <si>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</si>
  <si>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</si>
  <si>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</si>
  <si>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</si>
  <si>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</si>
  <si>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44.4% of revenue against depreciation of 21.4%.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</si>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</sst>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0.016783852591078494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0.2140799559508803</v>
      </c>
    </row>
    <row r="10" spans="1:2" x14ac:dyDescent="0.25">
      <c r="A10" t="s">
        <v>8</v>
      </c>
      <c r="B10" s="6">
        <v>0.4442227719882137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5.8657052599046775</v>
      </c>
    </row>
    <row r="14" spans="1:3" x14ac:dyDescent="0.25">
      <c r="A14" t="s">
        <v>12</v>
      </c>
      <c r="B14" s="6">
        <v>0.11520933837754177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1.04087</v>
      </c>
      <c r="C19" s="8" t="s">
        <v>19</v>
      </c>
    </row>
    <row r="20" spans="1:2" x14ac:dyDescent="0.25">
      <c r="A20" t="s">
        <v>20</v>
      </c>
      <c r="B20" s="10">
        <f>B17+B19*B18</f>
        <v>0.11593219999999999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6559148032</v>
      </c>
    </row>
    <row r="23" spans="1:2" x14ac:dyDescent="0.25">
      <c r="A23" t="s">
        <v>24</v>
      </c>
      <c r="B23" s="11">
        <v>74347000</v>
      </c>
    </row>
    <row r="24" spans="1:2" x14ac:dyDescent="0.25">
      <c r="A24" t="s">
        <v>25</v>
      </c>
      <c r="B24" s="10">
        <f>B22/(B22+B23)</f>
        <v>0.9887921827571514</v>
      </c>
    </row>
    <row r="25" spans="1:2" x14ac:dyDescent="0.25">
      <c r="A25" t="s">
        <v>26</v>
      </c>
      <c r="B25" s="10">
        <f>1-B24</f>
        <v>0.011207817242848583</v>
      </c>
    </row>
    <row r="26" spans="1:2" x14ac:dyDescent="0.25">
      <c r="A26" t="s">
        <v>27</v>
      </c>
      <c r="B26" s="12">
        <f>B24*B20+B25*B21*(1-B8)</f>
        <v>0.11520933837754177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1926607000</v>
      </c>
      <c r="C29" s="8" t="s">
        <v>30</v>
      </c>
    </row>
    <row r="30" spans="1:2" x14ac:dyDescent="0.25">
      <c r="A30" t="s">
        <v>31</v>
      </c>
      <c r="B30" s="11">
        <v>-751437000</v>
      </c>
    </row>
    <row r="31" spans="1:2" x14ac:dyDescent="0.25">
      <c r="A31" t="s">
        <v>32</v>
      </c>
      <c r="B31" s="13">
        <v>1054579545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2889910500</v>
      </c>
      <c r="C6" s="18">
        <f>B6*(1+C5)</f>
        <v>4334865750</v>
      </c>
      <c r="D6" s="18">
        <f>C6*(1+D5)</f>
        <v>6502298625</v>
      </c>
      <c r="E6" s="18">
        <f>D6*(1+E5)</f>
        <v>9753447937.5</v>
      </c>
      <c r="F6" s="18">
        <f>E6*(1+F5)</f>
        <v>14630171906.25</v>
      </c>
    </row>
    <row r="7" spans="1:6" x14ac:dyDescent="0.25">
      <c r="A7" t="s">
        <v>5</v>
      </c>
      <c r="B7" s="10">
        <f>Assumptions!B7</f>
        <v>0.016783852591078494</v>
      </c>
      <c r="C7" s="10">
        <f>Assumptions!B7</f>
        <v>0.016783852591078494</v>
      </c>
      <c r="D7" s="10">
        <f>Assumptions!B7</f>
        <v>0.016783852591078494</v>
      </c>
      <c r="E7" s="10">
        <f>Assumptions!B7</f>
        <v>0.016783852591078494</v>
      </c>
      <c r="F7" s="10">
        <f>Assumptions!B7</f>
        <v>0.016783852591078494</v>
      </c>
    </row>
    <row r="8" spans="1:6" x14ac:dyDescent="0.25">
      <c r="A8" t="s">
        <v>44</v>
      </c>
      <c r="B8" s="18">
        <f>B6*B7</f>
        <v>48503831.83340994</v>
      </c>
      <c r="C8" s="18">
        <f>C6*C7</f>
        <v>72755747.75011492</v>
      </c>
      <c r="D8" s="18">
        <f>D6*D7</f>
        <v>109133621.62517238</v>
      </c>
      <c r="E8" s="18">
        <f>E6*E7</f>
        <v>163700432.43775856</v>
      </c>
      <c r="F8" s="18">
        <f>F6*F7</f>
        <v>245550648.65663785</v>
      </c>
    </row>
    <row r="9" spans="1:6" x14ac:dyDescent="0.25">
      <c r="A9" t="s">
        <v>45</v>
      </c>
      <c r="B9" s="18">
        <f>B8*(1-Assumptions!B8)</f>
        <v>33952682.28338696</v>
      </c>
      <c r="C9" s="18">
        <f>C8*(1-Assumptions!B8)</f>
        <v>50929023.42508044</v>
      </c>
      <c r="D9" s="18">
        <f>D8*(1-Assumptions!B8)</f>
        <v>76393535.13762066</v>
      </c>
      <c r="E9" s="18">
        <f>E8*(1-Assumptions!B8)</f>
        <v>114590302.70643099</v>
      </c>
      <c r="F9" s="18">
        <f>F8*(1-Assumptions!B8)</f>
        <v>171885454.0596465</v>
      </c>
    </row>
    <row r="10" spans="1:6" x14ac:dyDescent="0.25">
      <c r="A10" t="s">
        <v>46</v>
      </c>
      <c r="B10" s="18">
        <f>B6*Assumptions!B9</f>
        <v>618671912.5419865</v>
      </c>
      <c r="C10" s="18">
        <f>C6*Assumptions!B9</f>
        <v>928007868.8129797</v>
      </c>
      <c r="D10" s="18">
        <f>D6*Assumptions!B9</f>
        <v>1392011803.2194695</v>
      </c>
      <c r="E10" s="18">
        <f>E6*Assumptions!B9</f>
        <v>2088017704.8292043</v>
      </c>
      <c r="F10" s="18">
        <f>F6*Assumptions!B9</f>
        <v>3132026557.2438064</v>
      </c>
    </row>
    <row r="11" spans="1:6" x14ac:dyDescent="0.25">
      <c r="A11" t="s">
        <v>47</v>
      </c>
      <c r="B11" s="18">
        <f>-B6*Assumptions!B10</f>
        <v>-1283764053.1078446</v>
      </c>
      <c r="C11" s="18">
        <f>-C6*Assumptions!B10</f>
        <v>-1925646079.661767</v>
      </c>
      <c r="D11" s="18">
        <f>-D6*Assumptions!B10</f>
        <v>-2888469119.4926505</v>
      </c>
      <c r="E11" s="18">
        <f>-E6*Assumptions!B10</f>
        <v>-4332703679.238976</v>
      </c>
      <c r="F11" s="18">
        <f>-F6*Assumptions!B10</f>
        <v>-6499055518.858463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-631139458.2824712</v>
      </c>
      <c r="C13" s="20">
        <f>C9+C10+C11+C12</f>
        <v>-946709187.4237069</v>
      </c>
      <c r="D13" s="20">
        <f>D9+D10+D11+D12</f>
        <v>-1420063781.1355603</v>
      </c>
      <c r="E13" s="20">
        <f>E9+E10+E11+E12</f>
        <v>-2130095671.70334</v>
      </c>
      <c r="F13" s="20">
        <f>F9+F10+F11+F12</f>
        <v>-3195143507.5550103</v>
      </c>
    </row>
    <row r="14" spans="1:6" x14ac:dyDescent="0.25">
      <c r="A14" t="s">
        <v>50</v>
      </c>
      <c r="B14" s="21">
        <f>1/(1+Assumptions!$B$26)^(1-0.5*Assumptions!$B$32)</f>
        <v>0.9469385591552149</v>
      </c>
      <c r="C14" s="21">
        <f>1/(1+Assumptions!$B$26)^(2-0.5*Assumptions!$B$32)</f>
        <v>0.8491128316167663</v>
      </c>
      <c r="D14" s="21">
        <f>1/(1+Assumptions!$B$26)^(3-0.5*Assumptions!$B$32)</f>
        <v>0.7613932222376251</v>
      </c>
      <c r="E14" s="21">
        <f>1/(1+Assumptions!$B$26)^(4-0.5*Assumptions!$B$32)</f>
        <v>0.6827356945785041</v>
      </c>
      <c r="F14" s="21">
        <f>1/(1+Assumptions!$B$26)^(5-0.5*Assumptions!$B$32)</f>
        <v>0.6122040688538171</v>
      </c>
    </row>
    <row r="15" spans="1:6" x14ac:dyDescent="0.25">
      <c r="A15" s="19" t="s">
        <v>51</v>
      </c>
      <c r="B15" s="20">
        <f>B13*B14</f>
        <v>-597650289.252006</v>
      </c>
      <c r="C15" s="20">
        <f>C13*C14</f>
        <v>-803862918.8509517</v>
      </c>
      <c r="D15" s="20">
        <f>D13*D14</f>
        <v>-1081226938.10175</v>
      </c>
      <c r="E15" s="20">
        <f>E13*E14</f>
        <v>-1454292347.9390452</v>
      </c>
      <c r="F15" s="20">
        <f>F13*F14</f>
        <v>-1956079855.8970342</v>
      </c>
    </row>
    <row r="17" spans="1:2" x14ac:dyDescent="0.25">
      <c r="A17" s="22" t="s">
        <v>52</v>
      </c>
      <c r="B17" s="23">
        <f>SUM(B15:F15)</f>
        <v>-5893112350.040787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-3195143507.5550103</v>
      </c>
    </row>
    <row r="5" spans="1:2" x14ac:dyDescent="0.25">
      <c r="A5" t="s">
        <v>56</v>
      </c>
      <c r="B5" s="18">
        <f>IF(Assumptions!$B$33=0,B4,B4-Forecast!F11-Forecast!F10-Forecast!F12)</f>
        <v>171885454.0596465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0.21699629866873146</v>
      </c>
    </row>
    <row r="7" spans="1:2" x14ac:dyDescent="0.25">
      <c r="A7" t="s">
        <v>58</v>
      </c>
      <c r="B7" s="18">
        <f>-MAX(Forecast!F9,0)*B6</f>
        <v>-37298507.32593757</v>
      </c>
    </row>
    <row r="8" spans="1:2" x14ac:dyDescent="0.25">
      <c r="A8" t="s">
        <v>59</v>
      </c>
      <c r="B8" s="18">
        <f>IF(OR(Assumptions!$B$33=0,Assumptions!B12&lt;=0),B5,MAX(B5+B7,0))</f>
        <v>134586946.73370892</v>
      </c>
    </row>
    <row r="9" spans="1:2" x14ac:dyDescent="0.25">
      <c r="A9" t="s">
        <v>60</v>
      </c>
      <c r="B9" s="18">
        <f>B8*(1+Assumptions!B12)/(Assumptions!B26-Assumptions!B12)</f>
        <v>1529238800.36344</v>
      </c>
    </row>
    <row r="10" spans="1:2" x14ac:dyDescent="0.25">
      <c r="A10" t="s">
        <v>61</v>
      </c>
      <c r="B10" s="18">
        <f>B9/(1+Assumptions!B26)^(5-0.5*Assumptions!B32)</f>
        <v>936206215.8316281</v>
      </c>
    </row>
    <row r="11" spans="1:2" x14ac:dyDescent="0.25">
      <c r="A11" t="s">
        <v>62</v>
      </c>
      <c r="B11" s="18">
        <f>Forecast!B17+B10</f>
        <v>-4956906134.209159</v>
      </c>
    </row>
    <row r="12" spans="1:2" x14ac:dyDescent="0.25">
      <c r="A12" t="s">
        <v>63</v>
      </c>
      <c r="B12" s="18">
        <f>-Assumptions!B30</f>
        <v>751437000</v>
      </c>
    </row>
    <row r="13" spans="1:2" x14ac:dyDescent="0.25">
      <c r="A13" t="s">
        <v>64</v>
      </c>
      <c r="B13" s="18">
        <f>B11+B12</f>
        <v>-4205469134.209159</v>
      </c>
    </row>
    <row r="14" spans="1:2" x14ac:dyDescent="0.25">
      <c r="A14" s="19" t="s">
        <v>65</v>
      </c>
      <c r="B14" s="24">
        <f>B13/Assumptions!B31</f>
        <v>-3.9878159539014755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3377577205.900444</v>
      </c>
    </row>
    <row r="18" spans="1:2" x14ac:dyDescent="0.25">
      <c r="A18" t="s">
        <v>60</v>
      </c>
      <c r="B18" s="18">
        <f>B17*Assumptions!B13</f>
        <v>19811872382.38438</v>
      </c>
    </row>
    <row r="19" spans="1:2" x14ac:dyDescent="0.25">
      <c r="A19" t="s">
        <v>61</v>
      </c>
      <c r="B19" s="18">
        <f>B18/(1+Assumptions!B26)^(5-0.5*Assumptions!B32)</f>
        <v>12128908884.108284</v>
      </c>
    </row>
    <row r="20" spans="1:2" x14ac:dyDescent="0.25">
      <c r="A20" t="s">
        <v>62</v>
      </c>
      <c r="B20" s="18">
        <f>Forecast!B17+B19</f>
        <v>6235796534.067497</v>
      </c>
    </row>
    <row r="21" spans="1:2" x14ac:dyDescent="0.25">
      <c r="A21" t="s">
        <v>63</v>
      </c>
      <c r="B21" s="18">
        <f>-Assumptions!B30</f>
        <v>751437000</v>
      </c>
    </row>
    <row r="22" spans="1:2" x14ac:dyDescent="0.25">
      <c r="A22" t="s">
        <v>64</v>
      </c>
      <c r="B22" s="18">
        <f>B20+B21</f>
        <v>6987233534.067497</v>
      </c>
    </row>
    <row r="23" spans="1:2" x14ac:dyDescent="0.25">
      <c r="A23" s="19" t="s">
        <v>65</v>
      </c>
      <c r="B23" s="25">
        <f>B22/Assumptions!B31</f>
        <v>6.625610715849318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-3.9878159539014755</v>
      </c>
    </row>
    <row r="29" spans="1:2" x14ac:dyDescent="0.25">
      <c r="A29" s="19" t="s">
        <v>73</v>
      </c>
      <c r="B29" s="12">
        <f>B28/B26-1</f>
        <v>-1.628993052665848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0.095209</v>
      </c>
      <c r="B5" s="31">
        <v>-4.042675859673139</v>
      </c>
      <c r="C5" s="31">
        <v>-4.036991058693135</v>
      </c>
      <c r="D5" s="31">
        <v>-4.031306257713132</v>
      </c>
      <c r="E5" s="31">
        <v>-4.025621456733128</v>
      </c>
      <c r="F5" s="31">
        <v>-4.019936655753125</v>
      </c>
    </row>
    <row r="6" spans="1:6" x14ac:dyDescent="0.25">
      <c r="A6" s="30">
        <v>0.105209</v>
      </c>
      <c r="B6" s="31">
        <v>-4.0302713897611415</v>
      </c>
      <c r="C6" s="31">
        <v>-4.025333094688673</v>
      </c>
      <c r="D6" s="31">
        <v>-4.020394799616204</v>
      </c>
      <c r="E6" s="31">
        <v>-4.015456504543734</v>
      </c>
      <c r="F6" s="31">
        <v>-4.010518209471265</v>
      </c>
    </row>
    <row r="7" spans="1:6" x14ac:dyDescent="0.25">
      <c r="A7" s="30">
        <v>0.115209</v>
      </c>
      <c r="B7" s="31">
        <v>-3.9964783847781744</v>
      </c>
      <c r="C7" s="31">
        <v>-3.9921478634250267</v>
      </c>
      <c r="D7" s="32">
        <v>-3.987817342071879</v>
      </c>
      <c r="E7" s="31">
        <v>-3.983486820718731</v>
      </c>
      <c r="F7" s="31">
        <v>-3.979156299365583</v>
      </c>
    </row>
    <row r="8" spans="1:6" x14ac:dyDescent="0.25">
      <c r="A8" s="30">
        <v>0.125209</v>
      </c>
      <c r="B8" s="31">
        <v>-3.947792322765625</v>
      </c>
      <c r="C8" s="31">
        <v>-3.9439645614216854</v>
      </c>
      <c r="D8" s="31">
        <v>-3.940136800077746</v>
      </c>
      <c r="E8" s="31">
        <v>-3.9363090387338064</v>
      </c>
      <c r="F8" s="31">
        <v>-3.9324812773898676</v>
      </c>
    </row>
    <row r="9" spans="1:6" x14ac:dyDescent="0.25">
      <c r="A9" s="30">
        <v>0.135209</v>
      </c>
      <c r="B9" s="31">
        <v>-3.8886991237349684</v>
      </c>
      <c r="C9" s="31">
        <v>-3.8852928231363486</v>
      </c>
      <c r="D9" s="31">
        <v>-3.881886522537729</v>
      </c>
      <c r="E9" s="31">
        <v>-3.8784802219391086</v>
      </c>
      <c r="F9" s="31">
        <v>-3.875073921340489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1926607000</v>
      </c>
      <c r="C5" s="18">
        <v>620002000</v>
      </c>
      <c r="D5" s="18">
        <v>422745000</v>
      </c>
      <c r="E5" s="18">
        <v>162899000</v>
      </c>
      <c r="F5" s="8" t="s">
        <v>84</v>
      </c>
    </row>
    <row r="6" spans="1:6" x14ac:dyDescent="0.25">
      <c r="A6" t="s">
        <v>44</v>
      </c>
      <c r="B6" s="18">
        <v>642037000</v>
      </c>
      <c r="C6" s="18">
        <v>56454000</v>
      </c>
      <c r="D6" s="18">
        <v>12145000</v>
      </c>
      <c r="E6" s="18">
        <v>-62862000</v>
      </c>
      <c r="F6" s="8" t="s">
        <v>85</v>
      </c>
    </row>
    <row r="7" spans="1:6" x14ac:dyDescent="0.25">
      <c r="A7" t="s">
        <v>86</v>
      </c>
      <c r="B7" s="18">
        <v>348076000</v>
      </c>
      <c r="C7" s="18">
        <v>135145000</v>
      </c>
      <c r="D7" s="18">
        <v>83151000</v>
      </c>
      <c r="E7" s="18">
        <v>42514000</v>
      </c>
      <c r="F7" s="8" t="s">
        <v>87</v>
      </c>
    </row>
    <row r="8" spans="1:6" x14ac:dyDescent="0.25">
      <c r="A8" t="s">
        <v>88</v>
      </c>
      <c r="B8" s="18">
        <v>364465000</v>
      </c>
      <c r="C8" s="18">
        <v>108284000</v>
      </c>
      <c r="D8" s="18">
        <v>126165000</v>
      </c>
      <c r="E8" s="18">
        <v>181571000</v>
      </c>
      <c r="F8" s="8" t="s">
        <v>89</v>
      </c>
    </row>
    <row r="9" spans="1:6" x14ac:dyDescent="0.25">
      <c r="A9" t="s">
        <v>90</v>
      </c>
      <c r="B9" s="18">
        <v>0</v>
      </c>
      <c r="C9" s="18">
        <v>-23026000</v>
      </c>
      <c r="D9" s="18">
        <v>46834000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74347000</v>
      </c>
      <c r="C10" s="18">
        <v>207835000</v>
      </c>
      <c r="D10" s="18">
        <v>209110000</v>
      </c>
      <c r="E10" s="18">
        <v>272364000</v>
      </c>
      <c r="F10" s="8" t="s">
        <v>93</v>
      </c>
    </row>
    <row r="11" spans="1:6" x14ac:dyDescent="0.25">
      <c r="A11" t="s">
        <v>94</v>
      </c>
      <c r="B11" s="18">
        <v>825784000</v>
      </c>
      <c r="C11" s="18">
        <v>428812000</v>
      </c>
      <c r="D11" s="18">
        <v>20112000</v>
      </c>
      <c r="E11" s="18">
        <v>32526000</v>
      </c>
      <c r="F11" s="8" t="s">
        <v>95</v>
      </c>
    </row>
    <row r="12" spans="1:6" x14ac:dyDescent="0.25">
      <c r="A12" t="s">
        <v>32</v>
      </c>
      <c r="B12" s="34">
        <v>1054579545</v>
      </c>
      <c r="C12" s="34">
        <v>549522769</v>
      </c>
      <c r="D12" s="34">
        <v>439480769</v>
      </c>
      <c r="E12" s="34">
        <v>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