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<sst xmlns="http://schemas.openxmlformats.org/spreadsheetml/2006/main" count="116" uniqueCount="104">
  <si>
    <t>Vector Limited (VCT.NZ)</t>
  </si>
  <si>
    <t>DCF Studio - Base case</t>
  </si>
  <si>
    <t>Blue figures on a cream fill are inputs. Every other figure is a formula - change an input and the model reprices. Currency figures are NZD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</si>
  <si>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</si>
  <si>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</si>
  <si>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</si>
  <si>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</si>
  <si>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</si>
  <si>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</si>
  <si>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</si>
  <si>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</si>
  <si>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</si>
  <si>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</si>
  <si>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</si>
  <si>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</si>
  <si>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</si>
  <si>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NZD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</si>
  <si>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</si>
  <si>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</si>
  <si>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</si>
  <si>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</si>
  <si>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</si>
  <si>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</si>
  <si>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(NZD m)</t>
  </si>
  <si>
    <t>Total debt (NZD m)</t>
  </si>
  <si>
    <t>Equity weight</t>
  </si>
  <si>
    <t>Debt weight</t>
  </si>
  <si>
    <t>WACC</t>
  </si>
  <si>
    <t>Base year</t>
  </si>
  <si>
    <t>Revenue, last reported year (NZD m)</t>
  </si>
  <si>
    <t>Fiscal year ended 2026-06-30</t>
  </si>
  <si>
    <t>Net debt (NZD m)</t>
  </si>
  <si>
    <t>Diluted shares</t>
  </si>
  <si>
    <t>Mid-year discounting (1 = yes, 0 = no)</t>
  </si>
  <si>
    <t>Terminal year on a steady-state footing (1 = yes, 0 = no)</t>
  </si>
  <si>
    <t>Forecast cashflows (NZD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</si>
  <si>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</si>
  <si>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</si>
  <si>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</si>
  <si>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</si>
  <si>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</si>
  <si>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</si>
  <si>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</si>
  <si>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</si>
  <si>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</si>
  <si>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</si>
  <si>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</si>
  <si>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</si>
  <si>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</si>
  <si>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</si>
  <si>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</si>
  <si>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</si>
  <si>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</si>
  <si>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(NZD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</si>
  <si>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</si>
  <si>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</si>
  <si>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</si>
  <si>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</si>
  <si>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</si>
  <si>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</si>
  <si>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</si>
  <si>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</si>
  <si>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</si>
  <si>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</si>
  <si>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</si>
  <si>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</si>
  <si>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</si>
  <si>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</si>
  <si>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</si>
  <si>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(NZD)</t>
  </si>
  <si>
    <t>Conversion, NZD to NZD</t>
  </si>
  <si>
    <t>Same currency, no conversion</t>
  </si>
  <si>
    <t>Value per share (NZD)</t>
  </si>
  <si>
    <t>Implied upside</t>
  </si>
  <si>
    <t>Value per share (NZD)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</si>
  <si>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</si>
  <si>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(NZD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</si>
  <si>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</si>
  <si>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</si>
  <si>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</si>
  <si>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</si>
  <si>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</si>
  <si>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</si>
  <si>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</si>
  <si>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</si>
  <si>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</si>
  <si>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</si>
  <si>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</si>
  <si>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</si>
  <si>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</si>
  <si>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</si>
  <si>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</si>
  <si>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</si>
  <si>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</si>
  <si>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</si>
  <si>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</si>
  <si>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</si>
  <si>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</si>
  <si>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3.1%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</si>
  <si>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Some line items were not reported and have been derived. Each one is labelled in the workings below.</t>
  </si>
  <si>
    <t>Adjusted: Free cashflow is negative in at least one forecast year, so terminal value carries most of the valuation.</t>
  </si>
  <si>
    <t>Adjusted: Capital expenditure runs at 48.4% of revenue against depreciation of 20.5%.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</si>
  <si>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NZD assumption - no free live source available for this market.</t>
  </si>
  <si>
    <t>Data: Yahoo Finance. Risk-free rate: NZD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</si>
</sst>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0.00973830894861516</v>
      </c>
    </row>
    <row r="7" spans="1:2" x14ac:dyDescent="0.25">
      <c r="A7" t="s">
        <v>5</v>
      </c>
      <c r="B7" s="6">
        <v>0.2776686162204887</v>
      </c>
    </row>
    <row r="8" spans="1:2" x14ac:dyDescent="0.25">
      <c r="A8" t="s">
        <v>6</v>
      </c>
      <c r="B8" s="6">
        <v>0.28</v>
      </c>
    </row>
    <row r="9" spans="1:2" x14ac:dyDescent="0.25">
      <c r="A9" t="s">
        <v>7</v>
      </c>
      <c r="B9" s="6">
        <v>0.20485707566080763</v>
      </c>
    </row>
    <row r="10" spans="1:2" x14ac:dyDescent="0.25">
      <c r="A10" t="s">
        <v>8</v>
      </c>
      <c r="B10" s="6">
        <v>0.48378306178210617</v>
      </c>
    </row>
    <row r="11" spans="1:2" x14ac:dyDescent="0.25">
      <c r="A11" t="s">
        <v>9</v>
      </c>
      <c r="B11" s="6">
        <v>-0.14898785425101216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10.812288266091777</v>
      </c>
    </row>
    <row r="14" spans="1:3" x14ac:dyDescent="0.25">
      <c r="A14" t="s">
        <v>12</v>
      </c>
      <c r="B14" s="6">
        <v>0.06591952980688497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0.57388</v>
      </c>
      <c r="C19" s="8" t="s">
        <v>19</v>
      </c>
    </row>
    <row r="20" spans="1:2" x14ac:dyDescent="0.25">
      <c r="A20" t="s">
        <v>20</v>
      </c>
      <c r="B20" s="10">
        <f>B17+B19*B18</f>
        <v>0.08230219999999999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4720000000</v>
      </c>
    </row>
    <row r="23" spans="1:2" x14ac:dyDescent="0.25">
      <c r="A23" t="s">
        <v>24</v>
      </c>
      <c r="B23" s="11">
        <v>2306900000</v>
      </c>
    </row>
    <row r="24" spans="1:2" x14ac:dyDescent="0.25">
      <c r="A24" t="s">
        <v>25</v>
      </c>
      <c r="B24" s="10">
        <f>B22/(B22+B23)</f>
        <v>0.6717044500419815</v>
      </c>
    </row>
    <row r="25" spans="1:2" x14ac:dyDescent="0.25">
      <c r="A25" t="s">
        <v>26</v>
      </c>
      <c r="B25" s="10">
        <f>1-B24</f>
        <v>0.32829554995801846</v>
      </c>
    </row>
    <row r="26" spans="1:2" x14ac:dyDescent="0.25">
      <c r="A26" t="s">
        <v>27</v>
      </c>
      <c r="B26" s="12">
        <f>B24*B20+B25*B21*(1-B8)</f>
        <v>0.06591952980688497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1162100000</v>
      </c>
      <c r="C29" s="8" t="s">
        <v>30</v>
      </c>
    </row>
    <row r="30" spans="1:2" x14ac:dyDescent="0.25">
      <c r="A30" t="s">
        <v>31</v>
      </c>
      <c r="B30" s="11">
        <v>2301500000</v>
      </c>
    </row>
    <row r="31" spans="1:2" x14ac:dyDescent="0.25">
      <c r="A31" t="s">
        <v>32</v>
      </c>
      <c r="B31" s="13">
        <v>999992711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0.00973830894861516</v>
      </c>
      <c r="C5" s="10">
        <f>Assumptions!B6</f>
        <v>0.00973830894861516</v>
      </c>
      <c r="D5" s="10">
        <f>Assumptions!B6</f>
        <v>0.00973830894861516</v>
      </c>
      <c r="E5" s="10">
        <f>Assumptions!B6</f>
        <v>0.00973830894861516</v>
      </c>
      <c r="F5" s="10">
        <f>Assumptions!B6</f>
        <v>0.00973830894861516</v>
      </c>
    </row>
    <row r="6" spans="1:6" x14ac:dyDescent="0.25">
      <c r="A6" t="s">
        <v>43</v>
      </c>
      <c r="B6" s="18">
        <f>Assumptions!B29*(1+B5)</f>
        <v>1173416888.8291857</v>
      </c>
      <c r="C6" s="18">
        <f>B6*(1+C5)</f>
        <v>1184843985.0181272</v>
      </c>
      <c r="D6" s="18">
        <f>C6*(1+D5)</f>
        <v>1196382361.800142</v>
      </c>
      <c r="E6" s="18">
        <f>D6*(1+E5)</f>
        <v>1208033102.8600256</v>
      </c>
      <c r="F6" s="18">
        <f>E6*(1+F5)</f>
        <v>1219797302.4358308</v>
      </c>
    </row>
    <row r="7" spans="1:6" x14ac:dyDescent="0.25">
      <c r="A7" t="s">
        <v>5</v>
      </c>
      <c r="B7" s="10">
        <f>Assumptions!B7</f>
        <v>0.2776686162204887</v>
      </c>
      <c r="C7" s="10">
        <f>Assumptions!B7</f>
        <v>0.2776686162204887</v>
      </c>
      <c r="D7" s="10">
        <f>Assumptions!B7</f>
        <v>0.2776686162204887</v>
      </c>
      <c r="E7" s="10">
        <f>Assumptions!B7</f>
        <v>0.2776686162204887</v>
      </c>
      <c r="F7" s="10">
        <f>Assumptions!B7</f>
        <v>0.2776686162204887</v>
      </c>
    </row>
    <row r="8" spans="1:6" x14ac:dyDescent="0.25">
      <c r="A8" t="s">
        <v>44</v>
      </c>
      <c r="B8" s="18">
        <f>B6*B7</f>
        <v>325821043.77095103</v>
      </c>
      <c r="C8" s="18">
        <f>C6*C7</f>
        <v>328993989.75715286</v>
      </c>
      <c r="D8" s="18">
        <f>D6*D7</f>
        <v>332197834.8716455</v>
      </c>
      <c r="E8" s="18">
        <f>E6*E7</f>
        <v>335432880.01968664</v>
      </c>
      <c r="F8" s="18">
        <f>F6*F7</f>
        <v>338699429.0368421</v>
      </c>
    </row>
    <row r="9" spans="1:6" x14ac:dyDescent="0.25">
      <c r="A9" t="s">
        <v>45</v>
      </c>
      <c r="B9" s="18">
        <f>B8*(1-Assumptions!B8)</f>
        <v>234591151.51508474</v>
      </c>
      <c r="C9" s="18">
        <f>C8*(1-Assumptions!B8)</f>
        <v>236875672.62515005</v>
      </c>
      <c r="D9" s="18">
        <f>D8*(1-Assumptions!B8)</f>
        <v>239182441.10758474</v>
      </c>
      <c r="E9" s="18">
        <f>E8*(1-Assumptions!B8)</f>
        <v>241511673.61417437</v>
      </c>
      <c r="F9" s="18">
        <f>F8*(1-Assumptions!B8)</f>
        <v>243863588.9065263</v>
      </c>
    </row>
    <row r="10" spans="1:6" x14ac:dyDescent="0.25">
      <c r="A10" t="s">
        <v>46</v>
      </c>
      <c r="B10" s="18">
        <f>B6*Assumptions!B9</f>
        <v>240382752.37655</v>
      </c>
      <c r="C10" s="18">
        <f>C6*Assumptions!B9</f>
        <v>242723673.8851113</v>
      </c>
      <c r="D10" s="18">
        <f>D6*Assumptions!B9</f>
        <v>245087392.01054743</v>
      </c>
      <c r="E10" s="18">
        <f>E6*Assumptions!B9</f>
        <v>247474128.7533565</v>
      </c>
      <c r="F10" s="18">
        <f>F6*Assumptions!B9</f>
        <v>249884108.27594605</v>
      </c>
    </row>
    <row r="11" spans="1:6" x14ac:dyDescent="0.25">
      <c r="A11" t="s">
        <v>47</v>
      </c>
      <c r="B11" s="18">
        <f>-B6*Assumptions!B10</f>
        <v>-567679215.2246168</v>
      </c>
      <c r="C11" s="18">
        <f>-C6*Assumptions!B10</f>
        <v>-573207450.8061816</v>
      </c>
      <c r="D11" s="18">
        <f>-D6*Assumptions!B10</f>
        <v>-578789522.0537802</v>
      </c>
      <c r="E11" s="18">
        <f>-E6*Assumptions!B10</f>
        <v>-584425953.2357612</v>
      </c>
      <c r="F11" s="18">
        <f>-F6*Assumptions!B10</f>
        <v>-590117273.72596</v>
      </c>
    </row>
    <row r="12" spans="1:6" x14ac:dyDescent="0.25">
      <c r="A12" t="s">
        <v>48</v>
      </c>
      <c r="B12" s="18">
        <f>-(B6-Assumptions!B29)*Assumptions!B11</f>
        <v>1686078.9834576303</v>
      </c>
      <c r="C12" s="18">
        <f>-(C6-B6)*Assumptions!B11</f>
        <v>1702498.5415103096</v>
      </c>
      <c r="D12" s="18">
        <f>-(D6-C6)*Assumptions!B11</f>
        <v>1719077.9982920906</v>
      </c>
      <c r="E12" s="18">
        <f>-(E6-D6)*Assumptions!B11</f>
        <v>1735818.91094622</v>
      </c>
      <c r="F12" s="18">
        <f>-(F6-E6)*Assumptions!B11</f>
        <v>1752722.8517798823</v>
      </c>
    </row>
    <row r="13" spans="1:6" x14ac:dyDescent="0.25">
      <c r="A13" s="19" t="s">
        <v>49</v>
      </c>
      <c r="B13" s="20">
        <f>B9+B10+B11+B12</f>
        <v>-91019232.34952444</v>
      </c>
      <c r="C13" s="20">
        <f>C9+C10+C11+C12</f>
        <v>-91905605.75440988</v>
      </c>
      <c r="D13" s="20">
        <f>D9+D10+D11+D12</f>
        <v>-92800610.93735594</v>
      </c>
      <c r="E13" s="20">
        <f>E9+E10+E11+E12</f>
        <v>-93704331.95728412</v>
      </c>
      <c r="F13" s="20">
        <f>F9+F10+F11+F12</f>
        <v>-94616853.69170779</v>
      </c>
    </row>
    <row r="14" spans="1:6" x14ac:dyDescent="0.25">
      <c r="A14" t="s">
        <v>50</v>
      </c>
      <c r="B14" s="21">
        <f>1/(1+Assumptions!$B$26)^(1-0.5*Assumptions!$B$32)</f>
        <v>0.9685851142423179</v>
      </c>
      <c r="C14" s="21">
        <f>1/(1+Assumptions!$B$26)^(2-0.5*Assumptions!$B$32)</f>
        <v>0.9086850246732965</v>
      </c>
      <c r="D14" s="21">
        <f>1/(1+Assumptions!$B$26)^(3-0.5*Assumptions!$B$32)</f>
        <v>0.8524893289439262</v>
      </c>
      <c r="E14" s="21">
        <f>1/(1+Assumptions!$B$26)^(4-0.5*Assumptions!$B$32)</f>
        <v>0.7997689366835915</v>
      </c>
      <c r="F14" s="21">
        <f>1/(1+Assumptions!$B$26)^(5-0.5*Assumptions!$B$32)</f>
        <v>0.7503089251291676</v>
      </c>
    </row>
    <row r="15" spans="1:6" x14ac:dyDescent="0.25">
      <c r="A15" s="19" t="s">
        <v>51</v>
      </c>
      <c r="B15" s="20">
        <f>B13*B14</f>
        <v>-88159873.5635122</v>
      </c>
      <c r="C15" s="20">
        <f>C13*C14</f>
        <v>-83513247.6325602</v>
      </c>
      <c r="D15" s="20">
        <f>D13*D14</f>
        <v>-79111530.54357293</v>
      </c>
      <c r="E15" s="20">
        <f>E13*E14</f>
        <v>-74941813.93212341</v>
      </c>
      <c r="F15" s="20">
        <f>F13*F14</f>
        <v>-70991869.79252899</v>
      </c>
    </row>
    <row r="17" spans="1:2" x14ac:dyDescent="0.25">
      <c r="A17" s="22" t="s">
        <v>52</v>
      </c>
      <c r="B17" s="23">
        <f>SUM(B15:F15)</f>
        <v>-396718335.4642977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-94616853.69170779</v>
      </c>
    </row>
    <row r="5" spans="1:2" x14ac:dyDescent="0.25">
      <c r="A5" t="s">
        <v>56</v>
      </c>
      <c r="B5" s="18">
        <f>IF(Assumptions!$B$33=0,B4,B4-Forecast!F11-Forecast!F10-Forecast!F12)</f>
        <v>243863588.9065263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0.37925027792581245</v>
      </c>
    </row>
    <row r="7" spans="1:2" x14ac:dyDescent="0.25">
      <c r="A7" t="s">
        <v>58</v>
      </c>
      <c r="B7" s="18">
        <f>-MAX(Forecast!F9,0)*B6</f>
        <v>-92485333.86878617</v>
      </c>
    </row>
    <row r="8" spans="1:2" x14ac:dyDescent="0.25">
      <c r="A8" t="s">
        <v>59</v>
      </c>
      <c r="B8" s="18">
        <f>IF(OR(Assumptions!$B$33=0,Assumptions!B12&lt;=0),B5,MAX(B5+B7,0))</f>
        <v>151378255.0377401</v>
      </c>
    </row>
    <row r="9" spans="1:2" x14ac:dyDescent="0.25">
      <c r="A9" t="s">
        <v>60</v>
      </c>
      <c r="B9" s="18">
        <f>B8*(1+Assumptions!B12)/(Assumptions!B26-Assumptions!B12)</f>
        <v>3791898688.620232</v>
      </c>
    </row>
    <row r="10" spans="1:2" x14ac:dyDescent="0.25">
      <c r="A10" t="s">
        <v>61</v>
      </c>
      <c r="B10" s="18">
        <f>B9/(1+Assumptions!B26)^(5-0.5*Assumptions!B32)</f>
        <v>2845095429.2573466</v>
      </c>
    </row>
    <row r="11" spans="1:2" x14ac:dyDescent="0.25">
      <c r="A11" t="s">
        <v>62</v>
      </c>
      <c r="B11" s="18">
        <f>Forecast!B17+B10</f>
        <v>2448377093.793049</v>
      </c>
    </row>
    <row r="12" spans="1:2" x14ac:dyDescent="0.25">
      <c r="A12" t="s">
        <v>63</v>
      </c>
      <c r="B12" s="18">
        <f>-Assumptions!B30</f>
        <v>-2301500000</v>
      </c>
    </row>
    <row r="13" spans="1:2" x14ac:dyDescent="0.25">
      <c r="A13" t="s">
        <v>64</v>
      </c>
      <c r="B13" s="18">
        <f>B11+B12</f>
        <v>146877093.79304886</v>
      </c>
    </row>
    <row r="14" spans="1:2" x14ac:dyDescent="0.25">
      <c r="A14" s="19" t="s">
        <v>65</v>
      </c>
      <c r="B14" s="24">
        <f>B13/Assumptions!B31</f>
        <v>0.1468781643879891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588583537.3127881</v>
      </c>
    </row>
    <row r="18" spans="1:2" x14ac:dyDescent="0.25">
      <c r="A18" t="s">
        <v>60</v>
      </c>
      <c r="B18" s="18">
        <f>B17*Assumptions!B13</f>
        <v>6363934874.1018505</v>
      </c>
    </row>
    <row r="19" spans="1:2" x14ac:dyDescent="0.25">
      <c r="A19" t="s">
        <v>61</v>
      </c>
      <c r="B19" s="18">
        <f>B18/(1+Assumptions!B26)^(5-0.5*Assumptions!B32)</f>
        <v>4774917134.979383</v>
      </c>
    </row>
    <row r="20" spans="1:2" x14ac:dyDescent="0.25">
      <c r="A20" t="s">
        <v>62</v>
      </c>
      <c r="B20" s="18">
        <f>Forecast!B17+B19</f>
        <v>4378198799.515086</v>
      </c>
    </row>
    <row r="21" spans="1:2" x14ac:dyDescent="0.25">
      <c r="A21" t="s">
        <v>63</v>
      </c>
      <c r="B21" s="18">
        <f>-Assumptions!B30</f>
        <v>-2301500000</v>
      </c>
    </row>
    <row r="22" spans="1:2" x14ac:dyDescent="0.25">
      <c r="A22" t="s">
        <v>64</v>
      </c>
      <c r="B22" s="18">
        <f>B20+B21</f>
        <v>2076698799.5150862</v>
      </c>
    </row>
    <row r="23" spans="1:2" x14ac:dyDescent="0.25">
      <c r="A23" s="19" t="s">
        <v>65</v>
      </c>
      <c r="B23" s="25">
        <f>B22/Assumptions!B31</f>
        <v>2.0767139366829706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4.72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0.1468781643879891</v>
      </c>
    </row>
    <row r="29" spans="1:2" x14ac:dyDescent="0.25">
      <c r="A29" s="19" t="s">
        <v>73</v>
      </c>
      <c r="B29" s="12">
        <f>B28/B26-1</f>
        <v>-0.9688817448330531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0.04592</v>
      </c>
      <c r="B5" s="31">
        <v>1.6874692804590872</v>
      </c>
      <c r="C5" s="31">
        <v>1.7091650544057913</v>
      </c>
      <c r="D5" s="31">
        <v>1.7308608283524904</v>
      </c>
      <c r="E5" s="31">
        <v>1.7525566022991934</v>
      </c>
      <c r="F5" s="31">
        <v>1.7742523762458964</v>
      </c>
    </row>
    <row r="6" spans="1:6" x14ac:dyDescent="0.25">
      <c r="A6" s="30">
        <v>0.05592</v>
      </c>
      <c r="B6" s="31">
        <v>0.7577301991793185</v>
      </c>
      <c r="C6" s="31">
        <v>0.7747994082089514</v>
      </c>
      <c r="D6" s="31">
        <v>0.7918686172385834</v>
      </c>
      <c r="E6" s="31">
        <v>0.8089378262682153</v>
      </c>
      <c r="F6" s="31">
        <v>0.8260070352978464</v>
      </c>
    </row>
    <row r="7" spans="1:6" x14ac:dyDescent="0.25">
      <c r="A7" s="30">
        <v>0.06592</v>
      </c>
      <c r="B7" s="31">
        <v>0.11909566398614435</v>
      </c>
      <c r="C7" s="31">
        <v>0.1329741528942022</v>
      </c>
      <c r="D7" s="32">
        <v>0.14685264180225957</v>
      </c>
      <c r="E7" s="31">
        <v>0.1607311307103179</v>
      </c>
      <c r="F7" s="31">
        <v>0.1746096196183743</v>
      </c>
    </row>
    <row r="8" spans="1:6" x14ac:dyDescent="0.25">
      <c r="A8" s="30">
        <v>0.07592</v>
      </c>
      <c r="B8" s="31">
        <v>-0.3439299157906132</v>
      </c>
      <c r="C8" s="31">
        <v>-0.33237533964756816</v>
      </c>
      <c r="D8" s="31">
        <v>-0.320820763504525</v>
      </c>
      <c r="E8" s="31">
        <v>-0.3092661873614808</v>
      </c>
      <c r="F8" s="31">
        <v>-0.2977116112184367</v>
      </c>
    </row>
    <row r="9" spans="1:6" x14ac:dyDescent="0.25">
      <c r="A9" s="30">
        <v>0.08592</v>
      </c>
      <c r="B9" s="31">
        <v>-0.6930453242647143</v>
      </c>
      <c r="C9" s="31">
        <v>-0.6832518763208579</v>
      </c>
      <c r="D9" s="31">
        <v>-0.6734584283770031</v>
      </c>
      <c r="E9" s="31">
        <v>-0.6636649804331471</v>
      </c>
      <c r="F9" s="31">
        <v>-0.6538715324892916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1162100000</v>
      </c>
      <c r="C5" s="18">
        <v>1038600000</v>
      </c>
      <c r="D5" s="18">
        <v>1075000000</v>
      </c>
      <c r="E5" s="18">
        <v>1128800000</v>
      </c>
      <c r="F5" s="8" t="s">
        <v>84</v>
      </c>
    </row>
    <row r="6" spans="1:6" x14ac:dyDescent="0.25">
      <c r="A6" t="s">
        <v>44</v>
      </c>
      <c r="B6" s="18">
        <v>416400000</v>
      </c>
      <c r="C6" s="18">
        <v>314800000</v>
      </c>
      <c r="D6" s="18">
        <v>250200000</v>
      </c>
      <c r="E6" s="18">
        <v>244400000</v>
      </c>
      <c r="F6" s="8" t="s">
        <v>85</v>
      </c>
    </row>
    <row r="7" spans="1:6" x14ac:dyDescent="0.25">
      <c r="A7" t="s">
        <v>86</v>
      </c>
      <c r="B7" s="18">
        <v>233000000</v>
      </c>
      <c r="C7" s="18">
        <v>231400000</v>
      </c>
      <c r="D7" s="18">
        <v>230800000</v>
      </c>
      <c r="E7" s="18">
        <v>204800000</v>
      </c>
      <c r="F7" s="8" t="s">
        <v>87</v>
      </c>
    </row>
    <row r="8" spans="1:6" x14ac:dyDescent="0.25">
      <c r="A8" t="s">
        <v>88</v>
      </c>
      <c r="B8" s="18">
        <v>531300000</v>
      </c>
      <c r="C8" s="18">
        <v>474900000</v>
      </c>
      <c r="D8" s="18">
        <v>488700000</v>
      </c>
      <c r="E8" s="18">
        <v>639000000</v>
      </c>
      <c r="F8" s="8" t="s">
        <v>89</v>
      </c>
    </row>
    <row r="9" spans="1:6" x14ac:dyDescent="0.25">
      <c r="A9" t="s">
        <v>90</v>
      </c>
      <c r="B9" s="18">
        <v>-18400000</v>
      </c>
      <c r="C9" s="18">
        <v>3900000</v>
      </c>
      <c r="D9" s="18">
        <v>34400000</v>
      </c>
      <c r="E9" s="18">
        <v>-3100000</v>
      </c>
      <c r="F9" s="8" t="s">
        <v>91</v>
      </c>
    </row>
    <row r="10" spans="1:6" x14ac:dyDescent="0.25">
      <c r="A10" t="s">
        <v>92</v>
      </c>
      <c r="B10" s="18">
        <v>2306900000</v>
      </c>
      <c r="C10" s="18">
        <v>2100600000</v>
      </c>
      <c r="D10" s="18">
        <v>2106600000</v>
      </c>
      <c r="E10" s="18">
        <v>2333800000</v>
      </c>
      <c r="F10" s="8" t="s">
        <v>93</v>
      </c>
    </row>
    <row r="11" spans="1:6" x14ac:dyDescent="0.25">
      <c r="A11" t="s">
        <v>94</v>
      </c>
      <c r="B11" s="18">
        <v>5400000</v>
      </c>
      <c r="C11" s="18">
        <v>23300000</v>
      </c>
      <c r="D11" s="18">
        <v>104600000</v>
      </c>
      <c r="E11" s="18">
        <v>537000000</v>
      </c>
      <c r="F11" s="8" t="s">
        <v>95</v>
      </c>
    </row>
    <row r="12" spans="1:6" x14ac:dyDescent="0.25">
      <c r="A12" t="s">
        <v>32</v>
      </c>
      <c r="B12" s="34">
        <v>999992711</v>
      </c>
      <c r="C12" s="34">
        <v>999973657</v>
      </c>
      <c r="D12" s="34">
        <v>999973657</v>
      </c>
      <c r="E12" s="34">
        <v>999973657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19" ht="54" customHeight="1" spans="1:6" x14ac:dyDescent="0.25">
      <c r="A19" s="35" t="s">
        <v>101</v>
      </c>
      <c r="B19" s="35"/>
      <c r="C19" s="35"/>
      <c r="D19" s="35"/>
      <c r="E19" s="35"/>
      <c r="F19" s="35"/>
    </row>
    <row r="20" ht="22" customHeight="1" spans="1:6" x14ac:dyDescent="0.25">
      <c r="A20" s="35" t="s">
        <v>102</v>
      </c>
      <c r="B20" s="35"/>
      <c r="C20" s="35"/>
      <c r="D20" s="35"/>
      <c r="E20" s="35"/>
      <c r="F20" s="35"/>
    </row>
    <row r="22" spans="1:1" x14ac:dyDescent="0.25">
      <c r="A22" s="36" t="s">
        <v>103</v>
      </c>
    </row>
  </sheetData>
  <mergeCells count="5">
    <mergeCell ref="A16:F16"/>
    <mergeCell ref="A17:F17"/>
    <mergeCell ref="A18:F18"/>
    <mergeCell ref="A19:F19"/>
    <mergeCell ref="A20:F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2026-09-19T01:06:38Z</dcterms:modified>
</cp:coreProperties>
</file>