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<sst xmlns="http://schemas.openxmlformats.org/spreadsheetml/2006/main" count="115" uniqueCount="103">
  <si>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Vicinity Centres (VCX.AX)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</si>
  <si>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</si>
  <si>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</si>
  <si>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</si>
  <si>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</si>
  <si>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</si>
  <si>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</si>
  <si>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</si>
  <si>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</si>
  <si>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</si>
  <si>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</si>
  <si>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</si>
  <si>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</si>
  <si>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</si>
  <si>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</si>
  <si>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</si>
  <si>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</si>
  <si>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</si>
  <si>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</si>
  <si>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</si>
  <si>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</si>
  <si>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</si>
  <si>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</si>
  <si>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</si>
  <si>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</si>
  <si>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</si>
  <si>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</si>
  <si>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</si>
  <si>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</si>
  <si>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</si>
  <si>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</si>
  <si>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</si>
  <si>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</si>
  <si>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</si>
  <si>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</si>
  <si>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</si>
  <si>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</si>
  <si>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</si>
  <si>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</si>
  <si>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</si>
  <si>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</si>
  <si>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</si>
  <si>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</si>
  <si>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</si>
  <si>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</si>
  <si>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</si>
  <si>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</si>
  <si>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</si>
  <si>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</si>
  <si>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</si>
  <si>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</si>
  <si>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</si>
  <si>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</si>
  <si>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</si>
  <si>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</si>
  <si>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</si>
  <si>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</si>
  <si>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</si>
  <si>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</si>
  <si>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</si>
  <si>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</si>
  <si>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</si>
  <si>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</si>
  <si>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</si>
  <si>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</si>
  <si>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</si>
  <si>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</si>
  <si>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</si>
  <si>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</si>
  <si>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</si>
  <si>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</si>
  <si>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</si>
  <si>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</si>
  <si>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</si>
  <si>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</si>
  <si>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</si>
  <si>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</si>
  <si>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</si>
  <si>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</si>
  <si>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</si>
  <si>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</si>
  <si>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</si>
  <si>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</si>
  <si>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</si>
  <si>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</si>
  <si>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</si>
  <si>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</si>
  <si>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</si>
  <si>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</si>
  <si>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</si>
  <si>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</si>
  <si>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</si>
  <si>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</si>
  <si>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</si>
  <si>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</si>
  <si>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</si>
  <si>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</si>
  <si>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</si>
  <si>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</si>
  <si>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0.22%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</si>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</sst>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0.02190286982394385</v>
      </c>
    </row>
    <row r="7" spans="1:2" x14ac:dyDescent="0.25">
      <c r="A7" t="s">
        <v>5</v>
      </c>
      <c r="B7" s="6">
        <v>0.58504838757322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0.0033630471231593847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0.5456919060052219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0.08372133405635644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0.85595</v>
      </c>
      <c r="C19" s="8" t="s">
        <v>19</v>
      </c>
    </row>
    <row r="20" spans="1:2" x14ac:dyDescent="0.25">
      <c r="A20" t="s">
        <v>20</v>
      </c>
      <c r="B20" s="10">
        <f>B17+B19*B18</f>
        <v>0.104837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10858681344</v>
      </c>
    </row>
    <row r="23" spans="1:2" x14ac:dyDescent="0.25">
      <c r="A23" t="s">
        <v>24</v>
      </c>
      <c r="B23" s="11">
        <v>4953800000</v>
      </c>
    </row>
    <row r="24" spans="1:2" x14ac:dyDescent="0.25">
      <c r="A24" t="s">
        <v>25</v>
      </c>
      <c r="B24" s="10">
        <f>B22/(B22+B23)</f>
        <v>0.6867158359127674</v>
      </c>
    </row>
    <row r="25" spans="1:2" x14ac:dyDescent="0.25">
      <c r="A25" t="s">
        <v>26</v>
      </c>
      <c r="B25" s="10">
        <f>1-B24</f>
        <v>0.3132841640872326</v>
      </c>
    </row>
    <row r="26" spans="1:2" x14ac:dyDescent="0.25">
      <c r="A26" t="s">
        <v>27</v>
      </c>
      <c r="B26" s="12">
        <f>B24*B20+B25*B21*(1-B8)</f>
        <v>0.08372133405635644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1360200000</v>
      </c>
      <c r="C29" s="8" t="s">
        <v>30</v>
      </c>
    </row>
    <row r="30" spans="1:2" x14ac:dyDescent="0.25">
      <c r="A30" t="s">
        <v>31</v>
      </c>
      <c r="B30" s="11">
        <v>4874200000</v>
      </c>
    </row>
    <row r="31" spans="1:2" x14ac:dyDescent="0.25">
      <c r="A31" t="s">
        <v>32</v>
      </c>
      <c r="B31" s="13">
        <v>4615792966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0.02190286982394385</v>
      </c>
      <c r="C5" s="10">
        <f>Assumptions!B6</f>
        <v>0.02190286982394385</v>
      </c>
      <c r="D5" s="10">
        <f>Assumptions!B6</f>
        <v>0.02190286982394385</v>
      </c>
      <c r="E5" s="10">
        <f>Assumptions!B6</f>
        <v>0.02190286982394385</v>
      </c>
      <c r="F5" s="10">
        <f>Assumptions!B6</f>
        <v>0.02190286982394385</v>
      </c>
    </row>
    <row r="6" spans="1:6" x14ac:dyDescent="0.25">
      <c r="A6" t="s">
        <v>43</v>
      </c>
      <c r="B6" s="18">
        <f>Assumptions!B29*(1+B5)</f>
        <v>1389992283.5345285</v>
      </c>
      <c r="C6" s="18">
        <f>B6*(1+C5)</f>
        <v>1420437103.5770717</v>
      </c>
      <c r="D6" s="18">
        <f>C6*(1+D5)</f>
        <v>1451548752.5498202</v>
      </c>
      <c r="E6" s="18">
        <f>D6*(1+E5)</f>
        <v>1483341835.920027</v>
      </c>
      <c r="F6" s="18">
        <f>E6*(1+F5)</f>
        <v>1515831279.0565932</v>
      </c>
    </row>
    <row r="7" spans="1:6" x14ac:dyDescent="0.25">
      <c r="A7" t="s">
        <v>5</v>
      </c>
      <c r="B7" s="10">
        <f>Assumptions!B7</f>
        <v>0.58504838757322</v>
      </c>
      <c r="C7" s="10">
        <f>Assumptions!B7</f>
        <v>0.58504838757322</v>
      </c>
      <c r="D7" s="10">
        <f>Assumptions!B7</f>
        <v>0.58504838757322</v>
      </c>
      <c r="E7" s="10">
        <f>Assumptions!B7</f>
        <v>0.58504838757322</v>
      </c>
      <c r="F7" s="10">
        <f>Assumptions!B7</f>
        <v>0.58504838757322</v>
      </c>
    </row>
    <row r="8" spans="1:6" x14ac:dyDescent="0.25">
      <c r="A8" t="s">
        <v>44</v>
      </c>
      <c r="B8" s="18">
        <f>B6*B7</f>
        <v>813212744.2210939</v>
      </c>
      <c r="C8" s="18">
        <f>C6*C7</f>
        <v>831024437.0969406</v>
      </c>
      <c r="D8" s="18">
        <f>D6*D7</f>
        <v>849226257.1631912</v>
      </c>
      <c r="E8" s="18">
        <f>E6*E7</f>
        <v>867826749.3249116</v>
      </c>
      <c r="F8" s="18">
        <f>F6*F7</f>
        <v>886834645.6451114</v>
      </c>
    </row>
    <row r="9" spans="1:6" x14ac:dyDescent="0.25">
      <c r="A9" t="s">
        <v>45</v>
      </c>
      <c r="B9" s="18">
        <f>B8*(1-Assumptions!B8)</f>
        <v>569248920.9547657</v>
      </c>
      <c r="C9" s="18">
        <f>C8*(1-Assumptions!B8)</f>
        <v>581717105.9678584</v>
      </c>
      <c r="D9" s="18">
        <f>D8*(1-Assumptions!B8)</f>
        <v>594458380.0142338</v>
      </c>
      <c r="E9" s="18">
        <f>E8*(1-Assumptions!B8)</f>
        <v>607478724.527438</v>
      </c>
      <c r="F9" s="18">
        <f>F8*(1-Assumptions!B8)</f>
        <v>620784251.951578</v>
      </c>
    </row>
    <row r="10" spans="1:6" x14ac:dyDescent="0.25">
      <c r="A10" t="s">
        <v>46</v>
      </c>
      <c r="B10" s="18">
        <f>B6*Assumptions!B9</f>
        <v>4674609.550354539</v>
      </c>
      <c r="C10" s="18">
        <f>C6*Assumptions!B9</f>
        <v>4776996.91481372</v>
      </c>
      <c r="D10" s="18">
        <f>D6*Assumptions!B9</f>
        <v>4881626.856388266</v>
      </c>
      <c r="E10" s="18">
        <f>E6*Assumptions!B9</f>
        <v>4988548.493952807</v>
      </c>
      <c r="F10" s="18">
        <f>F6*Assumptions!B9</f>
        <v>5097812.022226286</v>
      </c>
    </row>
    <row r="11" spans="1:6" x14ac:dyDescent="0.25">
      <c r="A11" t="s">
        <v>47</v>
      </c>
      <c r="B11" s="18">
        <f>-B6*Assumptions!B10</f>
        <v>-13899922.835345285</v>
      </c>
      <c r="C11" s="18">
        <f>-C6*Assumptions!B10</f>
        <v>-14204371.035770716</v>
      </c>
      <c r="D11" s="18">
        <f>-D6*Assumptions!B10</f>
        <v>-14515487.525498202</v>
      </c>
      <c r="E11" s="18">
        <f>-E6*Assumptions!B10</f>
        <v>-14833418.35920027</v>
      </c>
      <c r="F11" s="18">
        <f>-F6*Assumptions!B10</f>
        <v>-15158312.790565932</v>
      </c>
    </row>
    <row r="12" spans="1:6" x14ac:dyDescent="0.25">
      <c r="A12" t="s">
        <v>48</v>
      </c>
      <c r="B12" s="18">
        <f>-(B6-Assumptions!B29)*Assumptions!B11</f>
        <v>-16257407.986204842</v>
      </c>
      <c r="C12" s="18">
        <f>-(C6-B6)*Assumptions!B11</f>
        <v>-16613491.877001364</v>
      </c>
      <c r="D12" s="18">
        <f>-(D6-C6)*Assumptions!B11</f>
        <v>-16977375.026904542</v>
      </c>
      <c r="E12" s="18">
        <f>-(E6-D6)*Assumptions!B11</f>
        <v>-17349228.26207109</v>
      </c>
      <c r="F12" s="18">
        <f>-(F6-E6)*Assumptions!B11</f>
        <v>-17729226.150241062</v>
      </c>
    </row>
    <row r="13" spans="1:6" x14ac:dyDescent="0.25">
      <c r="A13" s="19" t="s">
        <v>49</v>
      </c>
      <c r="B13" s="20">
        <f>B9+B10+B11+B12</f>
        <v>543766199.68357</v>
      </c>
      <c r="C13" s="20">
        <f>C9+C10+C11+C12</f>
        <v>555676239.9699</v>
      </c>
      <c r="D13" s="20">
        <f>D9+D10+D11+D12</f>
        <v>567847144.3182193</v>
      </c>
      <c r="E13" s="20">
        <f>E9+E10+E11+E12</f>
        <v>580284626.4001194</v>
      </c>
      <c r="F13" s="20">
        <f>F9+F10+F11+F12</f>
        <v>592994525.0329974</v>
      </c>
    </row>
    <row r="14" spans="1:6" x14ac:dyDescent="0.25">
      <c r="A14" t="s">
        <v>50</v>
      </c>
      <c r="B14" s="21">
        <f>1/(1+Assumptions!$B$26)^(1-0.5*Assumptions!$B$32)</f>
        <v>0.960596917169497</v>
      </c>
      <c r="C14" s="21">
        <f>1/(1+Assumptions!$B$26)^(2-0.5*Assumptions!$B$32)</f>
        <v>0.8863873829760218</v>
      </c>
      <c r="D14" s="21">
        <f>1/(1+Assumptions!$B$26)^(3-0.5*Assumptions!$B$32)</f>
        <v>0.8179107996871152</v>
      </c>
      <c r="E14" s="21">
        <f>1/(1+Assumptions!$B$26)^(4-0.5*Assumptions!$B$32)</f>
        <v>0.7547242764204747</v>
      </c>
      <c r="F14" s="21">
        <f>1/(1+Assumptions!$B$26)^(5-0.5*Assumptions!$B$32)</f>
        <v>0.696419137192354</v>
      </c>
    </row>
    <row r="15" spans="1:6" x14ac:dyDescent="0.25">
      <c r="A15" s="19" t="s">
        <v>51</v>
      </c>
      <c r="B15" s="20">
        <f>B13*B14</f>
        <v>522340135.0770105</v>
      </c>
      <c r="C15" s="20">
        <f>C13*C14</f>
        <v>492544408.12887555</v>
      </c>
      <c r="D15" s="20">
        <f>D13*D14</f>
        <v>464448311.90935946</v>
      </c>
      <c r="E15" s="20">
        <f>E13*E14</f>
        <v>437954894.7777556</v>
      </c>
      <c r="F15" s="20">
        <f>F13*F14</f>
        <v>412972735.4832698</v>
      </c>
    </row>
    <row r="17" spans="1:2" x14ac:dyDescent="0.25">
      <c r="A17" s="22" t="s">
        <v>52</v>
      </c>
      <c r="B17" s="23">
        <f>SUM(B15:F15)</f>
        <v>2330260485.376271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592994525.0329974</v>
      </c>
    </row>
    <row r="5" spans="1:2" x14ac:dyDescent="0.25">
      <c r="A5" t="s">
        <v>56</v>
      </c>
      <c r="B5" s="18">
        <f>IF(Assumptions!$B$33=0,B4,B4-Forecast!F11-Forecast!F10-Forecast!F12)</f>
        <v>620784251.951578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0.2986096707820186</v>
      </c>
    </row>
    <row r="7" spans="1:2" x14ac:dyDescent="0.25">
      <c r="A7" t="s">
        <v>58</v>
      </c>
      <c r="B7" s="18">
        <f>-MAX(Forecast!F9,0)*B6</f>
        <v>-185372181.1019224</v>
      </c>
    </row>
    <row r="8" spans="1:2" x14ac:dyDescent="0.25">
      <c r="A8" t="s">
        <v>59</v>
      </c>
      <c r="B8" s="18">
        <f>IF(OR(Assumptions!$B$33=0,Assumptions!B12&lt;=0),B5,MAX(B5+B7,0))</f>
        <v>435412070.8496556</v>
      </c>
    </row>
    <row r="9" spans="1:2" x14ac:dyDescent="0.25">
      <c r="A9" t="s">
        <v>60</v>
      </c>
      <c r="B9" s="18">
        <f>B8*(1+Assumptions!B12)/(Assumptions!B26-Assumptions!B12)</f>
        <v>7600259425.178819</v>
      </c>
    </row>
    <row r="10" spans="1:2" x14ac:dyDescent="0.25">
      <c r="A10" t="s">
        <v>61</v>
      </c>
      <c r="B10" s="18">
        <f>B9/(1+Assumptions!B26)^(5-0.5*Assumptions!B32)</f>
        <v>5292966111.32109</v>
      </c>
    </row>
    <row r="11" spans="1:2" x14ac:dyDescent="0.25">
      <c r="A11" t="s">
        <v>62</v>
      </c>
      <c r="B11" s="18">
        <f>Forecast!B17+B10</f>
        <v>7623226596.697361</v>
      </c>
    </row>
    <row r="12" spans="1:2" x14ac:dyDescent="0.25">
      <c r="A12" t="s">
        <v>63</v>
      </c>
      <c r="B12" s="18">
        <f>-Assumptions!B30</f>
        <v>-4874200000</v>
      </c>
    </row>
    <row r="13" spans="1:2" x14ac:dyDescent="0.25">
      <c r="A13" t="s">
        <v>64</v>
      </c>
      <c r="B13" s="18">
        <f>B11+B12</f>
        <v>2749026596.697361</v>
      </c>
    </row>
    <row r="14" spans="1:2" x14ac:dyDescent="0.25">
      <c r="A14" s="19" t="s">
        <v>65</v>
      </c>
      <c r="B14" s="24">
        <f>B13/Assumptions!B31</f>
        <v>0.5955697356763469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891932457.6673378</v>
      </c>
    </row>
    <row r="18" spans="1:2" x14ac:dyDescent="0.25">
      <c r="A18" t="s">
        <v>60</v>
      </c>
      <c r="B18" s="18">
        <f>B17*Assumptions!B13</f>
        <v>17838649153.346756</v>
      </c>
    </row>
    <row r="19" spans="1:2" x14ac:dyDescent="0.25">
      <c r="A19" t="s">
        <v>61</v>
      </c>
      <c r="B19" s="18">
        <f>B18/(1+Assumptions!B26)^(5-0.5*Assumptions!B32)</f>
        <v>12423176652.050865</v>
      </c>
    </row>
    <row r="20" spans="1:2" x14ac:dyDescent="0.25">
      <c r="A20" t="s">
        <v>62</v>
      </c>
      <c r="B20" s="18">
        <f>Forecast!B17+B19</f>
        <v>14753437137.427135</v>
      </c>
    </row>
    <row r="21" spans="1:2" x14ac:dyDescent="0.25">
      <c r="A21" t="s">
        <v>63</v>
      </c>
      <c r="B21" s="18">
        <f>-Assumptions!B30</f>
        <v>-4874200000</v>
      </c>
    </row>
    <row r="22" spans="1:2" x14ac:dyDescent="0.25">
      <c r="A22" t="s">
        <v>64</v>
      </c>
      <c r="B22" s="18">
        <f>B20+B21</f>
        <v>9879237137.427135</v>
      </c>
    </row>
    <row r="23" spans="1:2" x14ac:dyDescent="0.25">
      <c r="A23" s="19" t="s">
        <v>65</v>
      </c>
      <c r="B23" s="25">
        <f>B22/Assumptions!B31</f>
        <v>2.1403120136015077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0.5955697356763469</v>
      </c>
    </row>
    <row r="29" spans="1:2" x14ac:dyDescent="0.25">
      <c r="A29" s="19" t="s">
        <v>73</v>
      </c>
      <c r="B29" s="12">
        <f>B28/B26-1</f>
        <v>-0.7432889070360573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0.063721</v>
      </c>
      <c r="B5" s="31">
        <v>1.0943379054149147</v>
      </c>
      <c r="C5" s="31">
        <v>1.1023299333365808</v>
      </c>
      <c r="D5" s="31">
        <v>1.1103219612582467</v>
      </c>
      <c r="E5" s="31">
        <v>1.1183139891799128</v>
      </c>
      <c r="F5" s="31">
        <v>1.1263060171015784</v>
      </c>
    </row>
    <row r="6" spans="1:6" x14ac:dyDescent="0.25">
      <c r="A6" s="30">
        <v>0.073721</v>
      </c>
      <c r="B6" s="31">
        <v>0.8046720522869824</v>
      </c>
      <c r="C6" s="31">
        <v>0.8112951573528213</v>
      </c>
      <c r="D6" s="31">
        <v>0.8179182624186602</v>
      </c>
      <c r="E6" s="31">
        <v>0.824541367484499</v>
      </c>
      <c r="F6" s="31">
        <v>0.831164472550338</v>
      </c>
    </row>
    <row r="7" spans="1:6" x14ac:dyDescent="0.25">
      <c r="A7" s="30">
        <v>0.083721</v>
      </c>
      <c r="B7" s="31">
        <v>0.5843888186039142</v>
      </c>
      <c r="C7" s="31">
        <v>0.5899825455998133</v>
      </c>
      <c r="D7" s="32">
        <v>0.5955762725957117</v>
      </c>
      <c r="E7" s="31">
        <v>0.60116999959161</v>
      </c>
      <c r="F7" s="31">
        <v>0.6067637265875082</v>
      </c>
    </row>
    <row r="8" spans="1:6" x14ac:dyDescent="0.25">
      <c r="A8" s="30">
        <v>0.093721</v>
      </c>
      <c r="B8" s="31">
        <v>0.41126886008758623</v>
      </c>
      <c r="C8" s="31">
        <v>0.41606341151995196</v>
      </c>
      <c r="D8" s="31">
        <v>0.4208579629523173</v>
      </c>
      <c r="E8" s="31">
        <v>0.4256525143846832</v>
      </c>
      <c r="F8" s="31">
        <v>0.43044706581704856</v>
      </c>
    </row>
    <row r="9" spans="1:6" x14ac:dyDescent="0.25">
      <c r="A9" s="30">
        <v>0.103721</v>
      </c>
      <c r="B9" s="31">
        <v>0.27166231243721856</v>
      </c>
      <c r="C9" s="31">
        <v>0.2758207559201192</v>
      </c>
      <c r="D9" s="31">
        <v>0.27997919940301935</v>
      </c>
      <c r="E9" s="31">
        <v>0.28413764288591997</v>
      </c>
      <c r="F9" s="31">
        <v>0.2882960863688202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1360200000</v>
      </c>
      <c r="C5" s="18">
        <v>1321900000</v>
      </c>
      <c r="D5" s="18">
        <v>1317200000</v>
      </c>
      <c r="E5" s="18">
        <v>1274600000</v>
      </c>
      <c r="F5" s="8" t="s">
        <v>84</v>
      </c>
    </row>
    <row r="6" spans="1:6" x14ac:dyDescent="0.25">
      <c r="A6" t="s">
        <v>44</v>
      </c>
      <c r="B6" s="18">
        <v>771400000</v>
      </c>
      <c r="C6" s="18">
        <v>766100000</v>
      </c>
      <c r="D6" s="18">
        <v>761600000</v>
      </c>
      <c r="E6" s="18">
        <v>784300000</v>
      </c>
      <c r="F6" s="8" t="s">
        <v>85</v>
      </c>
    </row>
    <row r="7" spans="1:6" x14ac:dyDescent="0.25">
      <c r="A7" t="s">
        <v>86</v>
      </c>
      <c r="B7" s="18">
        <v>4100000</v>
      </c>
      <c r="C7" s="18">
        <v>4200000</v>
      </c>
      <c r="D7" s="18">
        <v>4500000</v>
      </c>
      <c r="E7" s="18">
        <v>4900000</v>
      </c>
      <c r="F7" s="8" t="s">
        <v>87</v>
      </c>
    </row>
    <row r="8" spans="1:6" x14ac:dyDescent="0.25">
      <c r="A8" t="s">
        <v>88</v>
      </c>
      <c r="B8" s="18">
        <v>3700000</v>
      </c>
      <c r="C8" s="18">
        <v>6400000</v>
      </c>
      <c r="D8" s="18">
        <v>600000</v>
      </c>
      <c r="E8" s="18">
        <v>900000</v>
      </c>
      <c r="F8" s="8" t="s">
        <v>89</v>
      </c>
    </row>
    <row r="9" spans="1:6" x14ac:dyDescent="0.25">
      <c r="A9" t="s">
        <v>90</v>
      </c>
      <c r="B9" s="18">
        <v>20900000</v>
      </c>
      <c r="C9" s="18">
        <v>15500000</v>
      </c>
      <c r="D9" s="18">
        <v>-29500000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4953800000</v>
      </c>
      <c r="C10" s="18">
        <v>4853600000</v>
      </c>
      <c r="D10" s="18">
        <v>4622400000</v>
      </c>
      <c r="E10" s="18">
        <v>4461400000</v>
      </c>
      <c r="F10" s="8" t="s">
        <v>93</v>
      </c>
    </row>
    <row r="11" spans="1:6" x14ac:dyDescent="0.25">
      <c r="A11" t="s">
        <v>94</v>
      </c>
      <c r="B11" s="18">
        <v>79600000</v>
      </c>
      <c r="C11" s="18">
        <v>80700000</v>
      </c>
      <c r="D11" s="18">
        <v>49600000</v>
      </c>
      <c r="E11" s="18">
        <v>192900000</v>
      </c>
      <c r="F11" s="8" t="s">
        <v>95</v>
      </c>
    </row>
    <row r="12" spans="1:6" x14ac:dyDescent="0.25">
      <c r="A12" t="s">
        <v>32</v>
      </c>
      <c r="B12" s="34">
        <v>4615792966</v>
      </c>
      <c r="C12" s="34">
        <v>4568440200</v>
      </c>
      <c r="D12" s="34">
        <v>4562969141</v>
      </c>
      <c r="E12" s="34">
        <v>4563025210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2026-09-19T00:06:13Z</dcterms:modified>
</cp:coreProperties>
</file>