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<sst xmlns="http://schemas.openxmlformats.org/spreadsheetml/2006/main" count="114" uniqueCount="102">
  <si>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Viva Energy Group Limited (VEA.AX)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</si>
  <si>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</si>
  <si>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</si>
  <si>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</si>
  <si>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</si>
  <si>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</si>
  <si>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</si>
  <si>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</si>
  <si>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</si>
  <si>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</si>
  <si>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</si>
  <si>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</si>
  <si>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</si>
  <si>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</si>
  <si>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</si>
  <si>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</si>
  <si>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</si>
  <si>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</si>
  <si>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</si>
  <si>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Clamped from a reported -0.306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</si>
  <si>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</si>
  <si>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</si>
  <si>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</si>
  <si>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</si>
  <si>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</si>
  <si>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</si>
  <si>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</si>
  <si>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</si>
  <si>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</si>
  <si>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</si>
  <si>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</si>
  <si>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</si>
  <si>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</si>
  <si>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</si>
  <si>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</si>
  <si>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</si>
  <si>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</si>
  <si>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</si>
  <si>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</si>
  <si>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</si>
  <si>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</si>
  <si>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</si>
  <si>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</si>
  <si>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</si>
  <si>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</si>
  <si>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</si>
  <si>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</si>
  <si>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</si>
  <si>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</si>
  <si>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</si>
  <si>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</si>
  <si>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</si>
  <si>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</si>
  <si>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</si>
  <si>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</si>
  <si>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</si>
  <si>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</si>
  <si>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</si>
  <si>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</si>
  <si>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</si>
  <si>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</si>
  <si>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</si>
  <si>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</si>
  <si>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</si>
  <si>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</si>
  <si>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</si>
  <si>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</si>
  <si>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</si>
  <si>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</si>
  <si>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</si>
  <si>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</si>
  <si>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</si>
  <si>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</si>
  <si>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</si>
  <si>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</si>
  <si>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</si>
  <si>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</si>
  <si>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</si>
  <si>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</si>
  <si>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</si>
  <si>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</si>
  <si>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</si>
  <si>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</si>
  <si>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</si>
  <si>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</si>
  <si>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</si>
  <si>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</si>
  <si>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</si>
  <si>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</si>
  <si>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</si>
  <si>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</si>
  <si>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</si>
  <si>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</si>
  <si>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</si>
  <si>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</si>
  <si>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</si>
  <si>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</si>
  <si>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</si>
  <si>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</si>
  <si>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</si>
  <si>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Beta of -0.306 is not usable in a cost of equity. Clamped to 0.30.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</si>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</sst>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0.027747141950487553</v>
      </c>
    </row>
    <row r="7" spans="1:2" x14ac:dyDescent="0.25">
      <c r="A7" t="s">
        <v>5</v>
      </c>
      <c r="B7" s="6">
        <v>-0.0005873634064051132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0.018273986985052827</v>
      </c>
    </row>
    <row r="10" spans="1:2" x14ac:dyDescent="0.25">
      <c r="A10" t="s">
        <v>8</v>
      </c>
      <c r="B10" s="6">
        <v>0.017510004827812137</v>
      </c>
    </row>
    <row r="11" spans="1:2" x14ac:dyDescent="0.25">
      <c r="A11" t="s">
        <v>9</v>
      </c>
      <c r="B11" s="6">
        <v>-0.023327545238530433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12.71881583813669</v>
      </c>
    </row>
    <row r="14" spans="1:3" x14ac:dyDescent="0.25">
      <c r="A14" t="s">
        <v>12</v>
      </c>
      <c r="B14" s="6">
        <v>0.05332126218184636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0.07148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5124665344</v>
      </c>
    </row>
    <row r="23" spans="1:2" x14ac:dyDescent="0.25">
      <c r="A23" t="s">
        <v>24</v>
      </c>
      <c r="B23" s="11">
        <v>5858100000</v>
      </c>
    </row>
    <row r="24" spans="1:2" x14ac:dyDescent="0.25">
      <c r="A24" t="s">
        <v>25</v>
      </c>
      <c r="B24" s="10">
        <f>B22/(B22+B23)</f>
        <v>0.46660974567754543</v>
      </c>
    </row>
    <row r="25" spans="1:2" x14ac:dyDescent="0.25">
      <c r="A25" t="s">
        <v>26</v>
      </c>
      <c r="B25" s="10">
        <f>1-B24</f>
        <v>0.5333902543224546</v>
      </c>
    </row>
    <row r="26" spans="1:2" x14ac:dyDescent="0.25">
      <c r="A26" t="s">
        <v>27</v>
      </c>
      <c r="B26" s="12">
        <f>B24*B20+B25*B21*(1-B8)</f>
        <v>0.05332126218184636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28438200000</v>
      </c>
      <c r="C29" s="8" t="s">
        <v>30</v>
      </c>
    </row>
    <row r="30" spans="1:2" x14ac:dyDescent="0.25">
      <c r="A30" t="s">
        <v>31</v>
      </c>
      <c r="B30" s="11">
        <v>5687600000</v>
      </c>
    </row>
    <row r="31" spans="1:2" x14ac:dyDescent="0.25">
      <c r="A31" t="s">
        <v>32</v>
      </c>
      <c r="B31" s="13">
        <v>1597859291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0.027747141950487553</v>
      </c>
      <c r="C5" s="10">
        <f>Assumptions!B6</f>
        <v>0.027747141950487553</v>
      </c>
      <c r="D5" s="10">
        <f>Assumptions!B6</f>
        <v>0.027747141950487553</v>
      </c>
      <c r="E5" s="10">
        <f>Assumptions!B6</f>
        <v>0.027747141950487553</v>
      </c>
      <c r="F5" s="10">
        <f>Assumptions!B6</f>
        <v>0.027747141950487553</v>
      </c>
    </row>
    <row r="6" spans="1:6" x14ac:dyDescent="0.25">
      <c r="A6" t="s">
        <v>43</v>
      </c>
      <c r="B6" s="18">
        <f>Assumptions!B29*(1+B5)</f>
        <v>29227278772.216354</v>
      </c>
      <c r="C6" s="18">
        <f>B6*(1+C5)</f>
        <v>30038252225.135513</v>
      </c>
      <c r="D6" s="18">
        <f>C6*(1+D5)</f>
        <v>30871727873.570896</v>
      </c>
      <c r="E6" s="18">
        <f>D6*(1+E5)</f>
        <v>31728330089.135693</v>
      </c>
      <c r="F6" s="18">
        <f>E6*(1+F5)</f>
        <v>32608700567.970867</v>
      </c>
    </row>
    <row r="7" spans="1:6" x14ac:dyDescent="0.25">
      <c r="A7" t="s">
        <v>5</v>
      </c>
      <c r="B7" s="10">
        <f>Assumptions!B7</f>
        <v>-0.0005873634064051132</v>
      </c>
      <c r="C7" s="10">
        <f>Assumptions!B7</f>
        <v>-0.0005873634064051132</v>
      </c>
      <c r="D7" s="10">
        <f>Assumptions!B7</f>
        <v>-0.0005873634064051132</v>
      </c>
      <c r="E7" s="10">
        <f>Assumptions!B7</f>
        <v>-0.0005873634064051132</v>
      </c>
      <c r="F7" s="10">
        <f>Assumptions!B7</f>
        <v>-0.0005873634064051132</v>
      </c>
    </row>
    <row r="8" spans="1:6" x14ac:dyDescent="0.25">
      <c r="A8" t="s">
        <v>44</v>
      </c>
      <c r="B8" s="18">
        <f>B6*B7</f>
        <v>-17167034.01960085</v>
      </c>
      <c r="C8" s="18">
        <f>C6*C7</f>
        <v>-17643370.149411567</v>
      </c>
      <c r="D8" s="18">
        <f>D6*D7</f>
        <v>-18132923.245432284</v>
      </c>
      <c r="E8" s="18">
        <f>E6*E7</f>
        <v>-18636060.04070059</v>
      </c>
      <c r="F8" s="18">
        <f>F6*F7</f>
        <v>-19153157.444047716</v>
      </c>
    </row>
    <row r="9" spans="1:6" x14ac:dyDescent="0.25">
      <c r="A9" t="s">
        <v>45</v>
      </c>
      <c r="B9" s="18">
        <f>B8*(1-Assumptions!B8)</f>
        <v>-12016923.813720593</v>
      </c>
      <c r="C9" s="18">
        <f>C8*(1-Assumptions!B8)</f>
        <v>-12350359.104588095</v>
      </c>
      <c r="D9" s="18">
        <f>D8*(1-Assumptions!B8)</f>
        <v>-12693046.271802599</v>
      </c>
      <c r="E9" s="18">
        <f>E8*(1-Assumptions!B8)</f>
        <v>-13045242.028490411</v>
      </c>
      <c r="F9" s="18">
        <f>F8*(1-Assumptions!B8)</f>
        <v>-13407210.2108334</v>
      </c>
    </row>
    <row r="10" spans="1:6" x14ac:dyDescent="0.25">
      <c r="A10" t="s">
        <v>46</v>
      </c>
      <c r="B10" s="18">
        <f>B6*Assumptions!B9</f>
        <v>534098911.8919924</v>
      </c>
      <c r="C10" s="18">
        <f>C6*Assumptions!B9</f>
        <v>548918630.2158605</v>
      </c>
      <c r="D10" s="18">
        <f>D6*Assumptions!B9</f>
        <v>564149553.3677272</v>
      </c>
      <c r="E10" s="18">
        <f>E6*Assumptions!B9</f>
        <v>579803091.1063256</v>
      </c>
      <c r="F10" s="18">
        <f>F6*Assumptions!B9</f>
        <v>595890969.7785844</v>
      </c>
    </row>
    <row r="11" spans="1:6" x14ac:dyDescent="0.25">
      <c r="A11" t="s">
        <v>47</v>
      </c>
      <c r="B11" s="18">
        <f>-B6*Assumptions!B10</f>
        <v>-511769792.4053196</v>
      </c>
      <c r="C11" s="18">
        <f>-C6*Assumptions!B10</f>
        <v>-525969941.48116153</v>
      </c>
      <c r="D11" s="18">
        <f>-D6*Assumptions!B10</f>
        <v>-540564104.109129</v>
      </c>
      <c r="E11" s="18">
        <f>-E6*Assumptions!B10</f>
        <v>-555563213.0391831</v>
      </c>
      <c r="F11" s="18">
        <f>-F6*Assumptions!B10</f>
        <v>-570978504.3738502</v>
      </c>
    </row>
    <row r="12" spans="1:6" x14ac:dyDescent="0.25">
      <c r="A12" t="s">
        <v>48</v>
      </c>
      <c r="B12" s="18">
        <f>-(B6-Assumptions!B29)*Assumptions!B11</f>
        <v>18407270.755641058</v>
      </c>
      <c r="C12" s="18">
        <f>-(C6-B6)*Assumptions!B11</f>
        <v>18918019.91021891</v>
      </c>
      <c r="D12" s="18">
        <f>-(D6-C6)*Assumptions!B11</f>
        <v>19442940.89408988</v>
      </c>
      <c r="E12" s="18">
        <f>-(E6-D6)*Assumptions!B11</f>
        <v>19982426.935013186</v>
      </c>
      <c r="F12" s="18">
        <f>-(F6-E6)*Assumptions!B11</f>
        <v>20536882.171694234</v>
      </c>
    </row>
    <row r="13" spans="1:6" x14ac:dyDescent="0.25">
      <c r="A13" s="19" t="s">
        <v>49</v>
      </c>
      <c r="B13" s="20">
        <f>B9+B10+B11+B12</f>
        <v>28719466.428593293</v>
      </c>
      <c r="C13" s="20">
        <f>C9+C10+C11+C12</f>
        <v>29516349.54032977</v>
      </c>
      <c r="D13" s="20">
        <f>D9+D10+D11+D12</f>
        <v>30335343.880885545</v>
      </c>
      <c r="E13" s="20">
        <f>E9+E10+E11+E12</f>
        <v>31177062.97366525</v>
      </c>
      <c r="F13" s="20">
        <f>F9+F10+F11+F12</f>
        <v>32042137.36559494</v>
      </c>
    </row>
    <row r="14" spans="1:6" x14ac:dyDescent="0.25">
      <c r="A14" t="s">
        <v>50</v>
      </c>
      <c r="B14" s="21">
        <f>1/(1+Assumptions!$B$26)^(1-0.5*Assumptions!$B$32)</f>
        <v>0.9743602867704472</v>
      </c>
      <c r="C14" s="21">
        <f>1/(1+Assumptions!$B$26)^(2-0.5*Assumptions!$B$32)</f>
        <v>0.9250361895782491</v>
      </c>
      <c r="D14" s="21">
        <f>1/(1+Assumptions!$B$26)^(3-0.5*Assumptions!$B$32)</f>
        <v>0.8782089783910106</v>
      </c>
      <c r="E14" s="21">
        <f>1/(1+Assumptions!$B$26)^(4-0.5*Assumptions!$B$32)</f>
        <v>0.8337522557665752</v>
      </c>
      <c r="F14" s="21">
        <f>1/(1+Assumptions!$B$26)^(5-0.5*Assumptions!$B$32)</f>
        <v>0.7915460227580932</v>
      </c>
    </row>
    <row r="15" spans="1:6" x14ac:dyDescent="0.25">
      <c r="A15" s="19" t="s">
        <v>51</v>
      </c>
      <c r="B15" s="20">
        <f>B13*B14</f>
        <v>27983107.54525839</v>
      </c>
      <c r="C15" s="20">
        <f>C13*C14</f>
        <v>27303691.509046353</v>
      </c>
      <c r="D15" s="20">
        <f>D13*D14</f>
        <v>26640771.35877249</v>
      </c>
      <c r="E15" s="20">
        <f>E13*E14</f>
        <v>25993946.58246997</v>
      </c>
      <c r="F15" s="20">
        <f>F13*F14</f>
        <v>25362826.39240516</v>
      </c>
    </row>
    <row r="17" spans="1:2" x14ac:dyDescent="0.25">
      <c r="A17" s="22" t="s">
        <v>52</v>
      </c>
      <c r="B17" s="23">
        <f>SUM(B15:F15)</f>
        <v>133284343.38795236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32042137.36559494</v>
      </c>
    </row>
    <row r="5" spans="1:2" x14ac:dyDescent="0.25">
      <c r="A5" t="s">
        <v>56</v>
      </c>
      <c r="B5" s="18">
        <f>IF(Assumptions!$B$33=0,B4,B4-Forecast!F11-Forecast!F10-Forecast!F12)</f>
        <v>-13407210.2108334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0.46885611812301486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133284343.38795236</v>
      </c>
    </row>
    <row r="12" spans="1:2" x14ac:dyDescent="0.25">
      <c r="A12" t="s">
        <v>63</v>
      </c>
      <c r="B12" s="18">
        <f>-Assumptions!B30</f>
        <v>-5687600000</v>
      </c>
    </row>
    <row r="13" spans="1:2" x14ac:dyDescent="0.25">
      <c r="A13" t="s">
        <v>64</v>
      </c>
      <c r="B13" s="18">
        <f>B11+B12</f>
        <v>-5554315656.612047</v>
      </c>
    </row>
    <row r="14" spans="1:2" x14ac:dyDescent="0.25">
      <c r="A14" s="19" t="s">
        <v>65</v>
      </c>
      <c r="B14" s="24">
        <f>B13/Assumptions!B31</f>
        <v>-3.476098106946544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576737812.3345367</v>
      </c>
    </row>
    <row r="18" spans="1:2" x14ac:dyDescent="0.25">
      <c r="A18" t="s">
        <v>60</v>
      </c>
      <c r="B18" s="18">
        <f>B17*Assumptions!B13</f>
        <v>7335422021.972811</v>
      </c>
    </row>
    <row r="19" spans="1:2" x14ac:dyDescent="0.25">
      <c r="A19" t="s">
        <v>61</v>
      </c>
      <c r="B19" s="18">
        <f>B18/(1+Assumptions!B26)^(5-0.5*Assumptions!B32)</f>
        <v>5806324126.744708</v>
      </c>
    </row>
    <row r="20" spans="1:2" x14ac:dyDescent="0.25">
      <c r="A20" t="s">
        <v>62</v>
      </c>
      <c r="B20" s="18">
        <f>Forecast!B17+B19</f>
        <v>5939608470.132661</v>
      </c>
    </row>
    <row r="21" spans="1:2" x14ac:dyDescent="0.25">
      <c r="A21" t="s">
        <v>63</v>
      </c>
      <c r="B21" s="18">
        <f>-Assumptions!B30</f>
        <v>-5687600000</v>
      </c>
    </row>
    <row r="22" spans="1:2" x14ac:dyDescent="0.25">
      <c r="A22" t="s">
        <v>64</v>
      </c>
      <c r="B22" s="18">
        <f>B20+B21</f>
        <v>252008470.13266087</v>
      </c>
    </row>
    <row r="23" spans="1:2" x14ac:dyDescent="0.25">
      <c r="A23" s="19" t="s">
        <v>65</v>
      </c>
      <c r="B23" s="25">
        <f>B22/Assumptions!B31</f>
        <v>0.15771630928462077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-3.476098106946544</v>
      </c>
    </row>
    <row r="29" spans="1:2" x14ac:dyDescent="0.25">
      <c r="A29" s="19" t="s">
        <v>73</v>
      </c>
      <c r="B29" s="12">
        <f>B28/B26-1</f>
        <v>-2.1141340086367126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0.033321</v>
      </c>
      <c r="B5" s="31">
        <v>-3.4720533339238555</v>
      </c>
      <c r="C5" s="31">
        <v>-3.4720533339238555</v>
      </c>
      <c r="D5" s="31">
        <v>-3.4720533339238555</v>
      </c>
      <c r="E5" s="31">
        <v>-3.4720533339238555</v>
      </c>
      <c r="F5" s="31" t="s">
        <v>76</v>
      </c>
    </row>
    <row r="6" spans="1:6" x14ac:dyDescent="0.25">
      <c r="A6" s="30">
        <v>0.043321</v>
      </c>
      <c r="B6" s="31">
        <v>-3.474117167791084</v>
      </c>
      <c r="C6" s="31">
        <v>-3.474117167791084</v>
      </c>
      <c r="D6" s="31">
        <v>-3.474117167791084</v>
      </c>
      <c r="E6" s="31">
        <v>-3.474117167791084</v>
      </c>
      <c r="F6" s="31">
        <v>-3.474117167791084</v>
      </c>
    </row>
    <row r="7" spans="1:6" x14ac:dyDescent="0.25">
      <c r="A7" s="30">
        <v>0.053321</v>
      </c>
      <c r="B7" s="31">
        <v>-3.4760980560603287</v>
      </c>
      <c r="C7" s="31">
        <v>-3.4760980560603287</v>
      </c>
      <c r="D7" s="32">
        <v>-3.4760980560603287</v>
      </c>
      <c r="E7" s="31">
        <v>-3.4760980560603287</v>
      </c>
      <c r="F7" s="31">
        <v>-3.4760980560603287</v>
      </c>
    </row>
    <row r="8" spans="1:6" x14ac:dyDescent="0.25">
      <c r="A8" s="30">
        <v>0.063321</v>
      </c>
      <c r="B8" s="31">
        <v>-3.478000310834993</v>
      </c>
      <c r="C8" s="31">
        <v>-3.478000310834993</v>
      </c>
      <c r="D8" s="31">
        <v>-3.478000310834993</v>
      </c>
      <c r="E8" s="31">
        <v>-3.478000310834993</v>
      </c>
      <c r="F8" s="31">
        <v>-3.478000310834993</v>
      </c>
    </row>
    <row r="9" spans="1:6" x14ac:dyDescent="0.25">
      <c r="A9" s="30">
        <v>0.073321</v>
      </c>
      <c r="B9" s="31">
        <v>-3.4798279754697248</v>
      </c>
      <c r="C9" s="31">
        <v>-3.4798279754697248</v>
      </c>
      <c r="D9" s="31">
        <v>-3.4798279754697248</v>
      </c>
      <c r="E9" s="31">
        <v>-3.4798279754697248</v>
      </c>
      <c r="F9" s="31">
        <v>-3.4798279754697248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28438200000</v>
      </c>
      <c r="C5" s="18">
        <v>29992200000</v>
      </c>
      <c r="D5" s="18">
        <v>25615400000</v>
      </c>
      <c r="E5" s="18">
        <v>26196500000</v>
      </c>
      <c r="F5" s="8" t="s">
        <v>85</v>
      </c>
    </row>
    <row r="6" spans="1:6" x14ac:dyDescent="0.25">
      <c r="A6" t="s">
        <v>44</v>
      </c>
      <c r="B6" s="18">
        <v>245400000</v>
      </c>
      <c r="C6" s="18">
        <v>22100000</v>
      </c>
      <c r="D6" s="18">
        <v>-881900000</v>
      </c>
      <c r="E6" s="18">
        <v>595000000</v>
      </c>
      <c r="F6" s="8" t="s">
        <v>86</v>
      </c>
    </row>
    <row r="7" spans="1:6" x14ac:dyDescent="0.25">
      <c r="A7" t="s">
        <v>87</v>
      </c>
      <c r="B7" s="18">
        <v>604700000</v>
      </c>
      <c r="C7" s="18">
        <v>571700000</v>
      </c>
      <c r="D7" s="18">
        <v>444200000</v>
      </c>
      <c r="E7" s="18">
        <v>404200000</v>
      </c>
      <c r="F7" s="8" t="s">
        <v>88</v>
      </c>
    </row>
    <row r="8" spans="1:6" x14ac:dyDescent="0.25">
      <c r="A8" t="s">
        <v>89</v>
      </c>
      <c r="B8" s="18">
        <v>557500000</v>
      </c>
      <c r="C8" s="18">
        <v>588100000</v>
      </c>
      <c r="D8" s="18">
        <v>492700000</v>
      </c>
      <c r="E8" s="18">
        <v>303700000</v>
      </c>
      <c r="F8" s="8" t="s">
        <v>90</v>
      </c>
    </row>
    <row r="9" spans="1:6" x14ac:dyDescent="0.25">
      <c r="A9" t="s">
        <v>91</v>
      </c>
      <c r="B9" s="18">
        <v>608900000</v>
      </c>
      <c r="C9" s="18">
        <v>-102100000</v>
      </c>
      <c r="D9" s="18">
        <v>6100000</v>
      </c>
      <c r="E9" s="18">
        <v>0</v>
      </c>
      <c r="F9" s="8" t="s">
        <v>92</v>
      </c>
    </row>
    <row r="10" spans="1:6" x14ac:dyDescent="0.25">
      <c r="A10" t="s">
        <v>93</v>
      </c>
      <c r="B10" s="18">
        <v>5858100000</v>
      </c>
      <c r="C10" s="18">
        <v>5532500000</v>
      </c>
      <c r="D10" s="18">
        <v>2995300000</v>
      </c>
      <c r="E10" s="18">
        <v>2456500000</v>
      </c>
      <c r="F10" s="8" t="s">
        <v>94</v>
      </c>
    </row>
    <row r="11" spans="1:6" x14ac:dyDescent="0.25">
      <c r="A11" t="s">
        <v>95</v>
      </c>
      <c r="B11" s="18">
        <v>170500000</v>
      </c>
      <c r="C11" s="18">
        <v>192700000</v>
      </c>
      <c r="D11" s="18">
        <v>215500000</v>
      </c>
      <c r="E11" s="18">
        <v>290500000</v>
      </c>
      <c r="F11" s="8" t="s">
        <v>96</v>
      </c>
    </row>
    <row r="12" spans="1:6" x14ac:dyDescent="0.25">
      <c r="A12" t="s">
        <v>32</v>
      </c>
      <c r="B12" s="34">
        <v>1597859291</v>
      </c>
      <c r="C12" s="34">
        <v>1577237243</v>
      </c>
      <c r="D12" s="34">
        <v>1900000000</v>
      </c>
      <c r="E12" s="34">
        <v>1553776435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2026-09-19T00:07:08Z</dcterms:modified>
</cp:coreProperties>
</file>