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<sst xmlns="http://schemas.openxmlformats.org/spreadsheetml/2006/main" count="121" uniqueCount="108">
  <si>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Veeva Systems Inc. (VEEV)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</si>
  <si>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</si>
  <si>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</si>
  <si>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</si>
  <si>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</si>
  <si>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</si>
  <si>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</si>
  <si>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</si>
  <si>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</si>
  <si>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</si>
  <si>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</si>
  <si>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</si>
  <si>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</si>
  <si>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</si>
  <si>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</si>
  <si>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</si>
  <si>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</si>
  <si>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</si>
  <si>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</si>
  <si>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</si>
  <si>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</si>
  <si>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</si>
  <si>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</si>
  <si>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</si>
  <si>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</si>
  <si>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</si>
  <si>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</si>
  <si>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</si>
  <si>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</si>
  <si>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</si>
  <si>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</si>
  <si>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</si>
  <si>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</si>
  <si>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</si>
  <si>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</si>
  <si>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</si>
  <si>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</si>
  <si>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</si>
  <si>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</si>
  <si>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</si>
  <si>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</si>
  <si>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</si>
  <si>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</si>
  <si>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</si>
  <si>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</si>
  <si>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</si>
  <si>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</si>
  <si>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</si>
  <si>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</si>
  <si>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</si>
  <si>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</si>
  <si>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</si>
  <si>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</si>
  <si>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</si>
  <si>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</si>
  <si>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</si>
  <si>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</si>
  <si>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</si>
  <si>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</si>
  <si>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</si>
  <si>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</si>
  <si>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</si>
  <si>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</si>
  <si>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</si>
  <si>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</si>
  <si>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</si>
  <si>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</si>
  <si>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</si>
  <si>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</si>
  <si>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</si>
  <si>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</si>
  <si>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</si>
  <si>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</si>
  <si>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</si>
  <si>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</si>
  <si>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</si>
  <si>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</si>
  <si>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</si>
  <si>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</si>
  <si>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</si>
  <si>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</si>
  <si>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</si>
  <si>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</si>
  <si>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</si>
  <si>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</si>
  <si>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</si>
  <si>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</si>
  <si>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</si>
  <si>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</si>
  <si>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</si>
  <si>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</si>
  <si>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</si>
  <si>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</si>
  <si>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</si>
  <si>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</si>
  <si>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</si>
  <si>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</si>
  <si>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</si>
  <si>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</si>
  <si>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</si>
  <si>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</si>
  <si>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</si>
  <si>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</si>
  <si>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</si>
  <si>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</si>
  <si>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1.34%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</si>
  <si>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46.3x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</si>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</sst>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0.15492187458435192</v>
      </c>
    </row>
    <row r="7" spans="1:2" x14ac:dyDescent="0.25">
      <c r="A7" t="s">
        <v>4</v>
      </c>
      <c r="B7" s="5">
        <v>0.23329844583300668</v>
      </c>
    </row>
    <row r="8" spans="1:2" x14ac:dyDescent="0.25">
      <c r="A8" t="s">
        <v>5</v>
      </c>
      <c r="B8" s="5">
        <v>0.1646096335676389</v>
      </c>
    </row>
    <row r="9" spans="1:2" x14ac:dyDescent="0.25">
      <c r="A9" t="s">
        <v>6</v>
      </c>
      <c r="B9" s="5">
        <v>0.013384908933263232</v>
      </c>
    </row>
    <row r="10" spans="1:3" x14ac:dyDescent="0.25">
      <c r="A10" t="s">
        <v>7</v>
      </c>
      <c r="B10" s="5">
        <v>0.013384908933263232</v>
      </c>
      <c r="C10" s="6" t="s">
        <v>8</v>
      </c>
    </row>
    <row r="11" spans="1:2" x14ac:dyDescent="0.25">
      <c r="A11" t="s">
        <v>9</v>
      </c>
      <c r="B11" s="5">
        <v>0.35307509197025255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0.10111868083751814</v>
      </c>
      <c r="C14" s="6" t="s">
        <v>13</v>
      </c>
    </row>
    <row r="15" spans="1:3" x14ac:dyDescent="0.25">
      <c r="A15" t="s">
        <v>14</v>
      </c>
      <c r="B15" s="5">
        <v>0.013384908933263232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0.9557800000000001</v>
      </c>
      <c r="C19" s="6" t="s">
        <v>21</v>
      </c>
    </row>
    <row r="20" spans="1:2" x14ac:dyDescent="0.25">
      <c r="A20" t="s">
        <v>22</v>
      </c>
      <c r="B20" s="9">
        <f>B17+B19*B18</f>
        <v>0.08936949400000001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50670993408</v>
      </c>
    </row>
    <row r="23" spans="1:2" x14ac:dyDescent="0.25">
      <c r="A23" t="s">
        <v>26</v>
      </c>
      <c r="B23" s="10">
        <v>95859000</v>
      </c>
    </row>
    <row r="24" spans="1:2" x14ac:dyDescent="0.25">
      <c r="A24" t="s">
        <v>27</v>
      </c>
      <c r="B24" s="9">
        <f>B22/(B22+B23)</f>
        <v>0.99811177972529</v>
      </c>
    </row>
    <row r="25" spans="1:2" x14ac:dyDescent="0.25">
      <c r="A25" t="s">
        <v>28</v>
      </c>
      <c r="B25" s="9">
        <f>1-B24</f>
        <v>0.0018882202747100285</v>
      </c>
    </row>
    <row r="26" spans="1:2" x14ac:dyDescent="0.25">
      <c r="A26" t="s">
        <v>29</v>
      </c>
      <c r="B26" s="11">
        <f>B24*B20+B25*B21*(1-B8)</f>
        <v>0.08930949073630345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3195311000</v>
      </c>
      <c r="C29" s="6" t="s">
        <v>32</v>
      </c>
    </row>
    <row r="30" spans="1:2" x14ac:dyDescent="0.25">
      <c r="A30" t="s">
        <v>33</v>
      </c>
      <c r="B30" s="10">
        <v>-6464955000</v>
      </c>
    </row>
    <row r="31" spans="1:2" x14ac:dyDescent="0.25">
      <c r="A31" t="s">
        <v>34</v>
      </c>
      <c r="B31" s="12">
        <v>166995000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0.15492187458435192</v>
      </c>
      <c r="C5" s="5">
        <v>0.12293867165545369</v>
      </c>
      <c r="D5" s="5">
        <v>0.11069633769852198</v>
      </c>
      <c r="E5" s="5">
        <v>0.09845400374159027</v>
      </c>
      <c r="F5" s="5">
        <v>0.08621166978465855</v>
      </c>
      <c r="G5" s="5">
        <v>0.07396933582772684</v>
      </c>
      <c r="H5" s="5">
        <v>0.061727001870795134</v>
      </c>
      <c r="I5" s="5">
        <v>0.04948466791386341</v>
      </c>
      <c r="J5" s="5">
        <v>0.0372423339569317</v>
      </c>
      <c r="K5" s="5">
        <v>0.024999999999999994</v>
      </c>
    </row>
    <row r="6" spans="1:11" x14ac:dyDescent="0.25">
      <c r="A6" t="s">
        <v>50</v>
      </c>
      <c r="B6" s="18">
        <f>Assumptions!B29*(1+B5)</f>
        <v>3690334570</v>
      </c>
      <c r="C6" s="18">
        <f>B6*(1+C5)</f>
        <v>4144019400</v>
      </c>
      <c r="D6" s="18">
        <f>C6*(1+D5)</f>
        <v>4602747170.931626</v>
      </c>
      <c r="E6" s="18">
        <f>D6*(1+E5)</f>
        <v>5055906058.120122</v>
      </c>
      <c r="F6" s="18">
        <f>E6*(1+F5)</f>
        <v>5491784161.665028</v>
      </c>
      <c r="G6" s="18">
        <f>F6*(1+G5)</f>
        <v>5898007788.612619</v>
      </c>
      <c r="H6" s="18">
        <f>G6*(1+H5)</f>
        <v>6262074126.414275</v>
      </c>
      <c r="I6" s="18">
        <f>H6*(1+I5)</f>
        <v>6571950785.011882</v>
      </c>
      <c r="J6" s="18">
        <f>I6*(1+J5)</f>
        <v>6816705570.895814</v>
      </c>
      <c r="K6" s="18">
        <f>J6*(1+K5)</f>
        <v>6987123210.168209</v>
      </c>
    </row>
    <row r="7" spans="1:11" x14ac:dyDescent="0.25">
      <c r="A7" t="s">
        <v>4</v>
      </c>
      <c r="B7" s="9">
        <f>Assumptions!B7</f>
        <v>0.23329844583300668</v>
      </c>
      <c r="C7" s="9">
        <f>Assumptions!B7</f>
        <v>0.23329844583300668</v>
      </c>
      <c r="D7" s="9">
        <f>Assumptions!B7</f>
        <v>0.23329844583300668</v>
      </c>
      <c r="E7" s="9">
        <f>Assumptions!B7</f>
        <v>0.23329844583300668</v>
      </c>
      <c r="F7" s="9">
        <f>Assumptions!B7</f>
        <v>0.23329844583300668</v>
      </c>
      <c r="G7" s="9">
        <f>Assumptions!B7</f>
        <v>0.23329844583300668</v>
      </c>
      <c r="H7" s="9">
        <f>Assumptions!B7</f>
        <v>0.23329844583300668</v>
      </c>
      <c r="I7" s="9">
        <f>Assumptions!B7</f>
        <v>0.23329844583300668</v>
      </c>
      <c r="J7" s="9">
        <f>Assumptions!B7</f>
        <v>0.23329844583300668</v>
      </c>
      <c r="K7" s="9">
        <f>Assumptions!B7</f>
        <v>0.23329844583300668</v>
      </c>
    </row>
    <row r="8" spans="1:11" x14ac:dyDescent="0.25">
      <c r="A8" t="s">
        <v>51</v>
      </c>
      <c r="B8" s="18">
        <f>B6*B7</f>
        <v>860949319.784817</v>
      </c>
      <c r="C8" s="18">
        <f>C6*C7</f>
        <v>966793285.5218289</v>
      </c>
      <c r="D8" s="18">
        <f>D6*D7</f>
        <v>1073813761.5406168</v>
      </c>
      <c r="E8" s="18">
        <f>E6*E7</f>
        <v>1179535025.6371076</v>
      </c>
      <c r="F8" s="18">
        <f>F6*F7</f>
        <v>1281224709.7667725</v>
      </c>
      <c r="G8" s="18">
        <f>G6*G7</f>
        <v>1375996050.5942926</v>
      </c>
      <c r="H8" s="18">
        <f>H6*H7</f>
        <v>1460932161.3835335</v>
      </c>
      <c r="I8" s="18">
        <f>I6*I7</f>
        <v>1533225904.2342803</v>
      </c>
      <c r="J8" s="18">
        <f>J6*J7</f>
        <v>1590326815.391192</v>
      </c>
      <c r="K8" s="18">
        <f>K6*K7</f>
        <v>1630084985.7759717</v>
      </c>
    </row>
    <row r="9" spans="1:11" x14ac:dyDescent="0.25">
      <c r="A9" t="s">
        <v>52</v>
      </c>
      <c r="B9" s="18">
        <f>B8*(1-Assumptions!B8)</f>
        <v>719228767.7347302</v>
      </c>
      <c r="C9" s="18">
        <f>C8*(1-Assumptions!B8)</f>
        <v>807649797.0564269</v>
      </c>
      <c r="D9" s="18">
        <f>D8*(1-Assumptions!B8)</f>
        <v>897053671.7335278</v>
      </c>
      <c r="E9" s="18">
        <f>E8*(1-Assumptions!B8)</f>
        <v>985372197.2867877</v>
      </c>
      <c r="F9" s="18">
        <f>F8*(1-Assumptions!B8)</f>
        <v>1070322779.7742596</v>
      </c>
      <c r="G9" s="18">
        <f>G8*(1-Assumptions!B8)</f>
        <v>1149493844.9154477</v>
      </c>
      <c r="H9" s="18">
        <f>H8*(1-Assumptions!B8)</f>
        <v>1220448653.6310112</v>
      </c>
      <c r="I9" s="18">
        <f>I8*(1-Assumptions!B8)</f>
        <v>1280842149.9618635</v>
      </c>
      <c r="J9" s="18">
        <f>J8*(1-Assumptions!B8)</f>
        <v>1328543701.0568578</v>
      </c>
      <c r="K9" s="18">
        <f>K8*(1-Assumptions!B8)</f>
        <v>1361757293.5832791</v>
      </c>
    </row>
    <row r="10" spans="1:11" x14ac:dyDescent="0.25">
      <c r="A10" t="s">
        <v>53</v>
      </c>
      <c r="B10" s="18">
        <f>B6*Assumptions!B9</f>
        <v>49394792.152723126</v>
      </c>
      <c r="C10" s="18">
        <f>C6*Assumptions!B9</f>
        <v>55467322.28667614</v>
      </c>
      <c r="D10" s="18">
        <f>D6*Assumptions!B9</f>
        <v>61607351.72575479</v>
      </c>
      <c r="E10" s="18">
        <f>E6*Assumptions!B9</f>
        <v>67672842.1630717</v>
      </c>
      <c r="F10" s="18">
        <f>F6*Assumptions!B9</f>
        <v>73507030.88502376</v>
      </c>
      <c r="G10" s="18">
        <f>G6*Assumptions!B9</f>
        <v>78944297.13825716</v>
      </c>
      <c r="H10" s="18">
        <f>H6*Assumptions!B9</f>
        <v>83817291.91539899</v>
      </c>
      <c r="I10" s="18">
        <f>I6*Assumptions!B9</f>
        <v>87964962.77127184</v>
      </c>
      <c r="J10" s="18">
        <f>J6*Assumptions!B9</f>
        <v>91240983.29130861</v>
      </c>
      <c r="K10" s="18">
        <f>K6*Assumptions!B9</f>
        <v>93522007.87359133</v>
      </c>
    </row>
    <row r="11" spans="1:11" x14ac:dyDescent="0.25">
      <c r="A11" t="s">
        <v>54</v>
      </c>
      <c r="B11" s="18">
        <f>-B6*B19</f>
        <v>-49394792.152723126</v>
      </c>
      <c r="C11" s="18">
        <f>-C6*C19</f>
        <v>-77653842.52120116</v>
      </c>
      <c r="D11" s="18">
        <f>-D6*D19</f>
        <v>-110892325.267277</v>
      </c>
      <c r="E11" s="18">
        <f>-E6*E19</f>
        <v>-148878756.9295468</v>
      </c>
      <c r="F11" s="18">
        <f>-F6*F19</f>
        <v>-191116113.91820183</v>
      </c>
      <c r="G11" s="18">
        <f>-G6*G19</f>
        <v>-236829983.12881997</v>
      </c>
      <c r="H11" s="18">
        <f>-H6*H19</f>
        <v>-284975087.14548784</v>
      </c>
      <c r="I11" s="18">
        <f>-I6*I19</f>
        <v>-334262321.68416244</v>
      </c>
      <c r="J11" s="18">
        <f>-J6*J19</f>
        <v>-383206751.7555769</v>
      </c>
      <c r="K11" s="18">
        <f>-K6*K19</f>
        <v>-430195034.63395065</v>
      </c>
    </row>
    <row r="12" spans="1:11" x14ac:dyDescent="0.25">
      <c r="A12" t="s">
        <v>55</v>
      </c>
      <c r="B12" s="18">
        <f>-(B6-Assumptions!B29)*Assumptions!B11</f>
        <v>-174780492.50519276</v>
      </c>
      <c r="C12" s="18">
        <f>-(C6-B6)*Assumptions!B11</f>
        <v>-160184813.0777584</v>
      </c>
      <c r="D12" s="18">
        <f>-(D6-C6)*Assumptions!B11</f>
        <v>-161965349.91099292</v>
      </c>
      <c r="E12" s="18">
        <f>-(E6-D6)*Assumptions!B11</f>
        <v>-159999115.7712154</v>
      </c>
      <c r="F12" s="18">
        <f>-(F6-E6)*Assumptions!B11</f>
        <v>-153897701.49693683</v>
      </c>
      <c r="G12" s="18">
        <f>-(G6-F6)*Assumptions!B11</f>
        <v>-143427444.44501054</v>
      </c>
      <c r="H12" s="18">
        <f>-(H6-G6)*Assumptions!B11</f>
        <v>-128542755.70259264</v>
      </c>
      <c r="I12" s="18">
        <f>-(I6-H6)*Assumptions!B11</f>
        <v>-109409729.73378453</v>
      </c>
      <c r="J12" s="18">
        <f>-(J6-I6)*Assumptions!B11</f>
        <v>-86416818.5361288</v>
      </c>
      <c r="K12" s="18">
        <f>-(K6-J6)*Assumptions!B11</f>
        <v>-60170223.659454234</v>
      </c>
    </row>
    <row r="13" spans="1:11" x14ac:dyDescent="0.25">
      <c r="A13" s="19" t="s">
        <v>56</v>
      </c>
      <c r="B13" s="20">
        <f>B9+B10+B11+B12</f>
        <v>544448275.2295375</v>
      </c>
      <c r="C13" s="20">
        <f>C9+C10+C11+C12</f>
        <v>625278463.7441435</v>
      </c>
      <c r="D13" s="20">
        <f>D9+D10+D11+D12</f>
        <v>685803348.2810125</v>
      </c>
      <c r="E13" s="20">
        <f>E9+E10+E11+E12</f>
        <v>744167166.7490972</v>
      </c>
      <c r="F13" s="20">
        <f>F9+F10+F11+F12</f>
        <v>798815995.2441448</v>
      </c>
      <c r="G13" s="20">
        <f>G9+G10+G11+G12</f>
        <v>848180714.4798745</v>
      </c>
      <c r="H13" s="20">
        <f>H9+H10+H11+H12</f>
        <v>890748102.6983299</v>
      </c>
      <c r="I13" s="20">
        <f>I9+I10+I11+I12</f>
        <v>925135061.3151885</v>
      </c>
      <c r="J13" s="20">
        <f>J9+J10+J11+J12</f>
        <v>950161114.0564609</v>
      </c>
      <c r="K13" s="20">
        <f>K9+K10+K11+K12</f>
        <v>964914043.1634656</v>
      </c>
    </row>
    <row r="14" spans="1:11" x14ac:dyDescent="0.25">
      <c r="A14" t="s">
        <v>57</v>
      </c>
      <c r="B14" s="21">
        <f>1/(1+Assumptions!$B$26)^(1-0.5*Assumptions!$B$32)</f>
        <v>0.9581298183992553</v>
      </c>
      <c r="C14" s="21">
        <f>1/(1+Assumptions!$B$26)^(2-0.5*Assumptions!$B$32)</f>
        <v>0.8795753883973055</v>
      </c>
      <c r="D14" s="21">
        <f>1/(1+Assumptions!$B$26)^(3-0.5*Assumptions!$B$32)</f>
        <v>0.8074614201724883</v>
      </c>
      <c r="E14" s="21">
        <f>1/(1+Assumptions!$B$26)^(4-0.5*Assumptions!$B$32)</f>
        <v>0.741259877967919</v>
      </c>
      <c r="F14" s="21">
        <f>1/(1+Assumptions!$B$26)^(5-0.5*Assumptions!$B$32)</f>
        <v>0.6804860182268997</v>
      </c>
      <c r="G14" s="21">
        <f>1/(1+Assumptions!$B$26)^(6-0.5*Assumptions!$B$32)</f>
        <v>0.6246948401844317</v>
      </c>
      <c r="H14" s="21">
        <f>1/(1+Assumptions!$B$26)^(7-0.5*Assumptions!$B$32)</f>
        <v>0.5734778274649732</v>
      </c>
      <c r="I14" s="21">
        <f>1/(1+Assumptions!$B$26)^(8-0.5*Assumptions!$B$32)</f>
        <v>0.5264599568276404</v>
      </c>
      <c r="J14" s="21">
        <f>1/(1+Assumptions!$B$26)^(9-0.5*Assumptions!$B$32)</f>
        <v>0.4832969521561656</v>
      </c>
      <c r="K14" s="21">
        <f>1/(1+Assumptions!$B$26)^(10-0.5*Assumptions!$B$32)</f>
        <v>0.44367276358667157</v>
      </c>
    </row>
    <row r="15" spans="1:11" x14ac:dyDescent="0.25">
      <c r="A15" s="19" t="s">
        <v>58</v>
      </c>
      <c r="B15" s="20">
        <f>B13*B14</f>
        <v>521652127.0734645</v>
      </c>
      <c r="C15" s="20">
        <f>C13*C14</f>
        <v>549979547.6042255</v>
      </c>
      <c r="D15" s="20">
        <f>D13*D14</f>
        <v>553759745.562034</v>
      </c>
      <c r="E15" s="20">
        <f>E13*E14</f>
        <v>551621263.2121679</v>
      </c>
      <c r="F15" s="20">
        <f>F13*F14</f>
        <v>543583115.8996462</v>
      </c>
      <c r="G15" s="20">
        <f>G13*G14</f>
        <v>529854115.87952226</v>
      </c>
      <c r="H15" s="20">
        <f>H13*H14</f>
        <v>510824286.7539851</v>
      </c>
      <c r="I15" s="20">
        <f>I13*I14</f>
        <v>487046564.4397306</v>
      </c>
      <c r="J15" s="20">
        <f>J13*J14</f>
        <v>459209970.48079437</v>
      </c>
      <c r="K15" s="20">
        <f>K13*K14</f>
        <v>428106080.1539237</v>
      </c>
    </row>
    <row r="17" spans="1:2" x14ac:dyDescent="0.25">
      <c r="A17" s="22" t="s">
        <v>59</v>
      </c>
      <c r="B17" s="23">
        <f>SUM(B15:K15)</f>
        <v>5135636817.059494</v>
      </c>
    </row>
    <row r="19" spans="1:11" x14ac:dyDescent="0.25">
      <c r="A19" t="s">
        <v>7</v>
      </c>
      <c r="B19" s="9">
        <f>Assumptions!$B$10+($B$20-Assumptions!$B$10)*0/9</f>
        <v>0.013384908933263232</v>
      </c>
      <c r="C19" s="9">
        <f>Assumptions!$B$10+($B$20-Assumptions!$B$10)*1/9</f>
        <v>0.018738773887303994</v>
      </c>
      <c r="D19" s="9">
        <f>Assumptions!$B$10+($B$20-Assumptions!$B$10)*2/9</f>
        <v>0.024092638841344757</v>
      </c>
      <c r="E19" s="9">
        <f>Assumptions!$B$10+($B$20-Assumptions!$B$10)*3/9</f>
        <v>0.02944650379538552</v>
      </c>
      <c r="F19" s="9">
        <f>Assumptions!$B$10+($B$20-Assumptions!$B$10)*4/9</f>
        <v>0.03480036874942628</v>
      </c>
      <c r="G19" s="9">
        <f>Assumptions!$B$10+($B$20-Assumptions!$B$10)*5/9</f>
        <v>0.040154233703467046</v>
      </c>
      <c r="H19" s="9">
        <f>Assumptions!$B$10+($B$20-Assumptions!$B$10)*6/9</f>
        <v>0.04550809865750781</v>
      </c>
      <c r="I19" s="9">
        <f>Assumptions!$B$10+($B$20-Assumptions!$B$10)*7/9</f>
        <v>0.05086196361154858</v>
      </c>
      <c r="J19" s="9">
        <f>Assumptions!$B$10+($B$20-Assumptions!$B$10)*8/9</f>
        <v>0.05621582856558934</v>
      </c>
      <c r="K19" s="9">
        <f>Assumptions!$B$10+($B$20-Assumptions!$B$10)*9/9</f>
        <v>0.061569693519630105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0.061569693519630105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964914043.1634656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1361757293.5832791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0.2472342379562</v>
      </c>
    </row>
    <row r="7" spans="1:2" x14ac:dyDescent="0.25">
      <c r="A7" t="s">
        <v>66</v>
      </c>
      <c r="B7" s="18">
        <f>-MAX(B5,0)*B6</f>
        <v>-336673026.76035935</v>
      </c>
    </row>
    <row r="8" spans="1:2" x14ac:dyDescent="0.25">
      <c r="A8" t="s">
        <v>67</v>
      </c>
      <c r="B8" s="18">
        <f>IF(OR(Assumptions!$B$33=0,Assumptions!B12&lt;=0),B5,MAX(B5+B7,0))</f>
        <v>1025084266.8229198</v>
      </c>
    </row>
    <row r="9" spans="1:2" x14ac:dyDescent="0.25">
      <c r="A9" t="s">
        <v>68</v>
      </c>
      <c r="B9" s="18">
        <f>B8*(1+Assumptions!B12)/(Assumptions!B26-Assumptions!B12)</f>
        <v>16338356305.787909</v>
      </c>
    </row>
    <row r="10" spans="1:2" x14ac:dyDescent="0.25">
      <c r="A10" t="s">
        <v>69</v>
      </c>
      <c r="B10" s="18">
        <f>B9/(1+Assumptions!B26)^(10-0.5*Assumptions!B32)</f>
        <v>7248883694.652643</v>
      </c>
    </row>
    <row r="11" spans="1:2" x14ac:dyDescent="0.25">
      <c r="A11" t="s">
        <v>70</v>
      </c>
      <c r="B11" s="18">
        <f>Forecast!B17+B10</f>
        <v>12384520511.712137</v>
      </c>
    </row>
    <row r="12" spans="1:2" x14ac:dyDescent="0.25">
      <c r="A12" t="s">
        <v>71</v>
      </c>
      <c r="B12" s="18">
        <f>-Assumptions!B30</f>
        <v>6464954999.999998</v>
      </c>
    </row>
    <row r="13" spans="1:2" x14ac:dyDescent="0.25">
      <c r="A13" t="s">
        <v>72</v>
      </c>
      <c r="B13" s="18">
        <f>B11+B12</f>
        <v>18849475511.712135</v>
      </c>
    </row>
    <row r="14" spans="1:2" x14ac:dyDescent="0.25">
      <c r="A14" s="19" t="s">
        <v>73</v>
      </c>
      <c r="B14" s="24">
        <f>B13/Assumptions!B31</f>
        <v>112.87449032433388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1723606993.649563</v>
      </c>
    </row>
    <row r="18" spans="1:2" x14ac:dyDescent="0.25">
      <c r="A18" t="s">
        <v>68</v>
      </c>
      <c r="B18" s="18">
        <f>B17*Assumptions!B13</f>
        <v>34472139872.991264</v>
      </c>
    </row>
    <row r="19" spans="1:2" x14ac:dyDescent="0.25">
      <c r="A19" t="s">
        <v>69</v>
      </c>
      <c r="B19" s="18">
        <f>B18/(1+Assumptions!B26)^(10-0.5*Assumptions!B32)</f>
        <v>15294349564.196327</v>
      </c>
    </row>
    <row r="20" spans="1:2" x14ac:dyDescent="0.25">
      <c r="A20" t="s">
        <v>70</v>
      </c>
      <c r="B20" s="18">
        <f>Forecast!B17+B19</f>
        <v>20429986381.25582</v>
      </c>
    </row>
    <row r="21" spans="1:2" x14ac:dyDescent="0.25">
      <c r="A21" t="s">
        <v>71</v>
      </c>
      <c r="B21" s="18">
        <f>-Assumptions!B30</f>
        <v>6464955000</v>
      </c>
    </row>
    <row r="22" spans="1:2" x14ac:dyDescent="0.25">
      <c r="A22" t="s">
        <v>72</v>
      </c>
      <c r="B22" s="18">
        <f>B20+B21</f>
        <v>26894941381.25582</v>
      </c>
    </row>
    <row r="23" spans="1:2" x14ac:dyDescent="0.25">
      <c r="A23" s="19" t="s">
        <v>73</v>
      </c>
      <c r="B23" s="25">
        <f>B22/Assumptions!B31</f>
        <v>161.05237510857106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312.96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112.87449032433388</v>
      </c>
    </row>
    <row r="29" spans="1:2" x14ac:dyDescent="0.25">
      <c r="A29" s="19" t="s">
        <v>81</v>
      </c>
      <c r="B29" s="11">
        <f>B28/B26-1</f>
        <v>-0.6393325334728595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0.069309</v>
      </c>
      <c r="B5" s="31">
        <v>143.31377042532569</v>
      </c>
      <c r="C5" s="31">
        <v>145.10548086953457</v>
      </c>
      <c r="D5" s="31">
        <v>147.5087340675468</v>
      </c>
      <c r="E5" s="31">
        <v>150.75688984299194</v>
      </c>
      <c r="F5" s="31">
        <v>155.21934219340673</v>
      </c>
    </row>
    <row r="6" spans="1:6" x14ac:dyDescent="0.25">
      <c r="A6" s="30">
        <v>0.079309</v>
      </c>
      <c r="B6" s="31">
        <v>126.08214068149937</v>
      </c>
      <c r="C6" s="31">
        <v>126.42032864309638</v>
      </c>
      <c r="D6" s="31">
        <v>126.98042856491166</v>
      </c>
      <c r="E6" s="31">
        <v>127.82994697523164</v>
      </c>
      <c r="F6" s="31">
        <v>129.06686119982695</v>
      </c>
    </row>
    <row r="7" spans="1:6" x14ac:dyDescent="0.25">
      <c r="A7" s="30">
        <v>0.089309</v>
      </c>
      <c r="B7" s="31">
        <v>113.55098944448808</v>
      </c>
      <c r="C7" s="31">
        <v>113.17828962743424</v>
      </c>
      <c r="D7" s="32">
        <v>112.87507398850232</v>
      </c>
      <c r="E7" s="31">
        <v>112.65891595958007</v>
      </c>
      <c r="F7" s="31">
        <v>112.55386061883395</v>
      </c>
    </row>
    <row r="8" spans="1:6" x14ac:dyDescent="0.25">
      <c r="A8" s="30">
        <v>0.099309</v>
      </c>
      <c r="B8" s="31">
        <v>104.04336186491973</v>
      </c>
      <c r="C8" s="31">
        <v>103.31681645926355</v>
      </c>
      <c r="D8" s="31">
        <v>102.59683826278626</v>
      </c>
      <c r="E8" s="31">
        <v>101.88484856475313</v>
      </c>
      <c r="F8" s="31">
        <v>101.18271067320283</v>
      </c>
    </row>
    <row r="9" spans="1:6" x14ac:dyDescent="0.25">
      <c r="A9" s="30">
        <v>0.109309</v>
      </c>
      <c r="B9" s="31">
        <v>97.1568683967637</v>
      </c>
      <c r="C9" s="31">
        <v>96.47774055901591</v>
      </c>
      <c r="D9" s="31">
        <v>95.79861272126811</v>
      </c>
      <c r="E9" s="31">
        <v>95.11948488352033</v>
      </c>
      <c r="F9" s="31">
        <v>94.44035704577256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3195311000</v>
      </c>
      <c r="C5" s="18">
        <v>2746619000</v>
      </c>
      <c r="D5" s="18">
        <v>2363673000</v>
      </c>
      <c r="E5" s="18">
        <v>2155060000</v>
      </c>
      <c r="F5" s="6" t="s">
        <v>91</v>
      </c>
    </row>
    <row r="6" spans="1:6" x14ac:dyDescent="0.25">
      <c r="A6" t="s">
        <v>51</v>
      </c>
      <c r="B6" s="18">
        <v>916369000</v>
      </c>
      <c r="C6" s="18">
        <v>691435000</v>
      </c>
      <c r="D6" s="18">
        <v>429334000</v>
      </c>
      <c r="E6" s="18">
        <v>459091000</v>
      </c>
      <c r="F6" s="6" t="s">
        <v>92</v>
      </c>
    </row>
    <row r="7" spans="1:6" x14ac:dyDescent="0.25">
      <c r="A7" t="s">
        <v>93</v>
      </c>
      <c r="B7" s="18">
        <v>37972000</v>
      </c>
      <c r="C7" s="18">
        <v>39383000</v>
      </c>
      <c r="D7" s="18">
        <v>32628000</v>
      </c>
      <c r="E7" s="18">
        <v>29122000</v>
      </c>
      <c r="F7" s="6" t="s">
        <v>94</v>
      </c>
    </row>
    <row r="8" spans="1:6" x14ac:dyDescent="0.25">
      <c r="A8" t="s">
        <v>95</v>
      </c>
      <c r="B8" s="18">
        <v>0</v>
      </c>
      <c r="C8" s="18">
        <v>0</v>
      </c>
      <c r="D8" s="18">
        <v>0</v>
      </c>
      <c r="E8" s="18">
        <v>0</v>
      </c>
      <c r="F8" s="6" t="s">
        <v>96</v>
      </c>
    </row>
    <row r="9" spans="1:6" x14ac:dyDescent="0.25">
      <c r="A9" t="s">
        <v>97</v>
      </c>
      <c r="B9" s="18">
        <v>91938000</v>
      </c>
      <c r="C9" s="18">
        <v>-7620000</v>
      </c>
      <c r="D9" s="18">
        <v>-60823000</v>
      </c>
      <c r="E9" s="18">
        <v>-7340000</v>
      </c>
      <c r="F9" s="6" t="s">
        <v>98</v>
      </c>
    </row>
    <row r="10" spans="1:6" x14ac:dyDescent="0.25">
      <c r="A10" t="s">
        <v>99</v>
      </c>
      <c r="B10" s="18">
        <v>95859000</v>
      </c>
      <c r="C10" s="18">
        <v>75775000</v>
      </c>
      <c r="D10" s="18">
        <v>55775000</v>
      </c>
      <c r="E10" s="18">
        <v>60976000</v>
      </c>
      <c r="F10" s="6" t="s">
        <v>100</v>
      </c>
    </row>
    <row r="11" spans="1:6" x14ac:dyDescent="0.25">
      <c r="A11" t="s">
        <v>101</v>
      </c>
      <c r="B11" s="18">
        <v>6560814000</v>
      </c>
      <c r="C11" s="18">
        <v>5150227000</v>
      </c>
      <c r="D11" s="18">
        <v>4027756000</v>
      </c>
      <c r="E11" s="18">
        <v>3102628000</v>
      </c>
      <c r="F11" s="6" t="s">
        <v>102</v>
      </c>
    </row>
    <row r="12" spans="1:6" x14ac:dyDescent="0.25">
      <c r="A12" t="s">
        <v>34</v>
      </c>
      <c r="B12" s="34">
        <v>166995000</v>
      </c>
      <c r="C12" s="34">
        <v>165232000</v>
      </c>
      <c r="D12" s="34">
        <v>163486000</v>
      </c>
      <c r="E12" s="34">
        <v>162437000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