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<sst xmlns="http://schemas.openxmlformats.org/spreadsheetml/2006/main" count="113" uniqueCount="101">
  <si>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Veeva Systems Inc. (VEEV)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</si>
  <si>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</si>
  <si>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</si>
  <si>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</si>
  <si>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</si>
  <si>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</si>
  <si>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</si>
  <si>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</si>
  <si>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</si>
  <si>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</si>
  <si>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</si>
  <si>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</si>
  <si>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</si>
  <si>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</si>
  <si>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</si>
  <si>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</si>
  <si>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</si>
  <si>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</si>
  <si>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</si>
  <si>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</si>
  <si>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</si>
  <si>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</si>
  <si>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</si>
  <si>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</si>
  <si>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</si>
  <si>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</si>
  <si>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</si>
  <si>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</si>
  <si>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</si>
  <si>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</si>
  <si>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</si>
  <si>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</si>
  <si>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</si>
  <si>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</si>
  <si>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</si>
  <si>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</si>
  <si>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</si>
  <si>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</si>
  <si>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</si>
  <si>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</si>
  <si>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</si>
  <si>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</si>
  <si>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</si>
  <si>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</si>
  <si>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</si>
  <si>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</si>
  <si>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</si>
  <si>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</si>
  <si>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</si>
  <si>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</si>
  <si>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</si>
  <si>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</si>
  <si>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</si>
  <si>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</si>
  <si>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</si>
  <si>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</si>
  <si>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</si>
  <si>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</si>
  <si>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</si>
  <si>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</si>
  <si>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</si>
  <si>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</si>
  <si>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</si>
  <si>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</si>
  <si>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</si>
  <si>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</si>
  <si>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</si>
  <si>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</si>
  <si>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</si>
  <si>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</si>
  <si>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</si>
  <si>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</si>
  <si>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</si>
  <si>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</si>
  <si>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</si>
  <si>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</si>
  <si>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</si>
  <si>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</si>
  <si>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</si>
  <si>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</si>
  <si>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</si>
  <si>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</si>
  <si>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</si>
  <si>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</si>
  <si>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</si>
  <si>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</si>
  <si>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</si>
  <si>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</si>
  <si>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</si>
  <si>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</si>
  <si>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</si>
  <si>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</si>
  <si>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</si>
  <si>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</si>
  <si>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</si>
  <si>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</si>
  <si>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</si>
  <si>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</si>
  <si>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0.00% of revenue, which is too low to be the company's real investment - property trusts and similar structures invest through lines that are not reported as capex. Capex has been set to 1.34%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</si>
  <si>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37.4x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</si>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</sst>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0.14029684526801778</v>
      </c>
    </row>
    <row r="7" spans="1:2" x14ac:dyDescent="0.25">
      <c r="A7" t="s">
        <v>5</v>
      </c>
      <c r="B7" s="6">
        <v>0.23329844583300668</v>
      </c>
    </row>
    <row r="8" spans="1:2" x14ac:dyDescent="0.25">
      <c r="A8" t="s">
        <v>6</v>
      </c>
      <c r="B8" s="6">
        <v>0.1646096335676389</v>
      </c>
    </row>
    <row r="9" spans="1:2" x14ac:dyDescent="0.25">
      <c r="A9" t="s">
        <v>7</v>
      </c>
      <c r="B9" s="6">
        <v>0.013384908933263232</v>
      </c>
    </row>
    <row r="10" spans="1:2" x14ac:dyDescent="0.25">
      <c r="A10" t="s">
        <v>8</v>
      </c>
      <c r="B10" s="6">
        <v>0.013384908933263232</v>
      </c>
    </row>
    <row r="11" spans="1:2" x14ac:dyDescent="0.25">
      <c r="A11" t="s">
        <v>9</v>
      </c>
      <c r="B11" s="6">
        <v>-0.01989836687156936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0.10391846982889894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0.98258</v>
      </c>
      <c r="C19" s="8" t="s">
        <v>19</v>
      </c>
    </row>
    <row r="20" spans="1:2" x14ac:dyDescent="0.25">
      <c r="A20" t="s">
        <v>20</v>
      </c>
      <c r="B20" s="10">
        <f>B17+B19*B18</f>
        <v>0.1040219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42130300928</v>
      </c>
    </row>
    <row r="23" spans="1:2" x14ac:dyDescent="0.25">
      <c r="A23" t="s">
        <v>24</v>
      </c>
      <c r="B23" s="11">
        <v>95859000</v>
      </c>
    </row>
    <row r="24" spans="1:2" x14ac:dyDescent="0.25">
      <c r="A24" t="s">
        <v>25</v>
      </c>
      <c r="B24" s="10">
        <f>B22/(B22+B23)</f>
        <v>0.9977298669790611</v>
      </c>
    </row>
    <row r="25" spans="1:2" x14ac:dyDescent="0.25">
      <c r="A25" t="s">
        <v>26</v>
      </c>
      <c r="B25" s="10">
        <f>1-B24</f>
        <v>0.0022701330209389248</v>
      </c>
    </row>
    <row r="26" spans="1:2" x14ac:dyDescent="0.25">
      <c r="A26" t="s">
        <v>27</v>
      </c>
      <c r="B26" s="12">
        <f>B24*B20+B25*B21*(1-B8)</f>
        <v>0.10391846982889894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3195311000</v>
      </c>
      <c r="C29" s="8" t="s">
        <v>30</v>
      </c>
    </row>
    <row r="30" spans="1:2" x14ac:dyDescent="0.25">
      <c r="A30" t="s">
        <v>31</v>
      </c>
      <c r="B30" s="11">
        <v>-6464955000</v>
      </c>
    </row>
    <row r="31" spans="1:2" x14ac:dyDescent="0.25">
      <c r="A31" t="s">
        <v>32</v>
      </c>
      <c r="B31" s="13">
        <v>166995000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0.14029684526801778</v>
      </c>
      <c r="C5" s="10">
        <f>Assumptions!B6</f>
        <v>0.14029684526801778</v>
      </c>
      <c r="D5" s="10">
        <f>Assumptions!B6</f>
        <v>0.14029684526801778</v>
      </c>
      <c r="E5" s="10">
        <f>Assumptions!B6</f>
        <v>0.14029684526801778</v>
      </c>
      <c r="F5" s="10">
        <f>Assumptions!B6</f>
        <v>0.14029684526801778</v>
      </c>
    </row>
    <row r="6" spans="1:6" x14ac:dyDescent="0.25">
      <c r="A6" t="s">
        <v>43</v>
      </c>
      <c r="B6" s="18">
        <f>Assumptions!B29*(1+B5)</f>
        <v>3643603052.9501953</v>
      </c>
      <c r="C6" s="18">
        <f>B6*(1+C5)</f>
        <v>4154789066.688026</v>
      </c>
      <c r="D6" s="18">
        <f>C6*(1+D5)</f>
        <v>4737692865.498408</v>
      </c>
      <c r="E6" s="18">
        <f>D6*(1+E5)</f>
        <v>5402376228.37663</v>
      </c>
      <c r="F6" s="18">
        <f>E6*(1+F5)</f>
        <v>6160312570.168803</v>
      </c>
    </row>
    <row r="7" spans="1:6" x14ac:dyDescent="0.25">
      <c r="A7" t="s">
        <v>5</v>
      </c>
      <c r="B7" s="10">
        <f>Assumptions!B7</f>
        <v>0.23329844583300668</v>
      </c>
      <c r="C7" s="10">
        <f>Assumptions!B7</f>
        <v>0.23329844583300668</v>
      </c>
      <c r="D7" s="10">
        <f>Assumptions!B7</f>
        <v>0.23329844583300668</v>
      </c>
      <c r="E7" s="10">
        <f>Assumptions!B7</f>
        <v>0.23329844583300668</v>
      </c>
      <c r="F7" s="10">
        <f>Assumptions!B7</f>
        <v>0.23329844583300668</v>
      </c>
    </row>
    <row r="8" spans="1:6" x14ac:dyDescent="0.25">
      <c r="A8" t="s">
        <v>44</v>
      </c>
      <c r="B8" s="18">
        <f>B6*B7</f>
        <v>850046929.4856789</v>
      </c>
      <c r="C8" s="18">
        <f>C6*C7</f>
        <v>969305832.0222849</v>
      </c>
      <c r="D8" s="18">
        <f>D6*D7</f>
        <v>1105296382.3549027</v>
      </c>
      <c r="E8" s="18">
        <f>E6*E7</f>
        <v>1260365977.8854482</v>
      </c>
      <c r="F8" s="18">
        <f>F6*F7</f>
        <v>1437191348.4659166</v>
      </c>
    </row>
    <row r="9" spans="1:6" x14ac:dyDescent="0.25">
      <c r="A9" t="s">
        <v>45</v>
      </c>
      <c r="B9" s="18">
        <f>B8*(1-Assumptions!B8)</f>
        <v>710121015.9077448</v>
      </c>
      <c r="C9" s="18">
        <f>C8*(1-Assumptions!B8)</f>
        <v>809748754.1981212</v>
      </c>
      <c r="D9" s="18">
        <f>D8*(1-Assumptions!B8)</f>
        <v>923353949.8718253</v>
      </c>
      <c r="E9" s="18">
        <f>E8*(1-Assumptions!B8)</f>
        <v>1052897596.1046057</v>
      </c>
      <c r="F9" s="18">
        <f>F8*(1-Assumptions!B8)</f>
        <v>1200615807.2283611</v>
      </c>
    </row>
    <row r="10" spans="1:6" x14ac:dyDescent="0.25">
      <c r="A10" t="s">
        <v>46</v>
      </c>
      <c r="B10" s="18">
        <f>B6*Assumptions!B9</f>
        <v>48769295.052698255</v>
      </c>
      <c r="C10" s="18">
        <f>C6*Assumptions!B9</f>
        <v>55611473.29453696</v>
      </c>
      <c r="D10" s="18">
        <f>D6*Assumptions!B9</f>
        <v>63413587.55846712</v>
      </c>
      <c r="E10" s="18">
        <f>E6*Assumptions!B9</f>
        <v>72310313.84004727</v>
      </c>
      <c r="F10" s="18">
        <f>F6*Assumptions!B9</f>
        <v>82455222.75214618</v>
      </c>
    </row>
    <row r="11" spans="1:6" x14ac:dyDescent="0.25">
      <c r="A11" t="s">
        <v>47</v>
      </c>
      <c r="B11" s="18">
        <f>-B6*Assumptions!B10</f>
        <v>-48769295.052698255</v>
      </c>
      <c r="C11" s="18">
        <f>-C6*Assumptions!B10</f>
        <v>-55611473.29453696</v>
      </c>
      <c r="D11" s="18">
        <f>-D6*Assumptions!B10</f>
        <v>-63413587.55846712</v>
      </c>
      <c r="E11" s="18">
        <f>-E6*Assumptions!B10</f>
        <v>-72310313.84004727</v>
      </c>
      <c r="F11" s="18">
        <f>-F6*Assumptions!B10</f>
        <v>-82455222.75214618</v>
      </c>
    </row>
    <row r="12" spans="1:6" x14ac:dyDescent="0.25">
      <c r="A12" t="s">
        <v>48</v>
      </c>
      <c r="B12" s="18">
        <f>-(B6-Assumptions!B29)*Assumptions!B11</f>
        <v>8920279.735211983</v>
      </c>
      <c r="C12" s="18">
        <f>-(C6-B6)*Assumptions!B11</f>
        <v>10171766.84097045</v>
      </c>
      <c r="D12" s="18">
        <f>-(D6-C6)*Assumptions!B11</f>
        <v>11598833.639560442</v>
      </c>
      <c r="E12" s="18">
        <f>-(E6-D6)*Assumptions!B11</f>
        <v>13226113.407979317</v>
      </c>
      <c r="F12" s="18">
        <f>-(F6-E6)*Assumptions!B11</f>
        <v>15081695.394275853</v>
      </c>
    </row>
    <row r="13" spans="1:6" x14ac:dyDescent="0.25">
      <c r="A13" s="19" t="s">
        <v>49</v>
      </c>
      <c r="B13" s="20">
        <f>B9+B10+B11+B12</f>
        <v>719041295.6429567</v>
      </c>
      <c r="C13" s="20">
        <f>C9+C10+C11+C12</f>
        <v>819920521.0390916</v>
      </c>
      <c r="D13" s="20">
        <f>D9+D10+D11+D12</f>
        <v>934952783.5113858</v>
      </c>
      <c r="E13" s="20">
        <f>E9+E10+E11+E12</f>
        <v>1066123709.5125852</v>
      </c>
      <c r="F13" s="20">
        <f>F9+F10+F11+F12</f>
        <v>1215697502.622637</v>
      </c>
    </row>
    <row r="14" spans="1:6" x14ac:dyDescent="0.25">
      <c r="A14" t="s">
        <v>50</v>
      </c>
      <c r="B14" s="21">
        <f>1/(1+Assumptions!$B$26)^(1-0.5*Assumptions!$B$32)</f>
        <v>0.9517688791496636</v>
      </c>
      <c r="C14" s="21">
        <f>1/(1+Assumptions!$B$26)^(2-0.5*Assumptions!$B$32)</f>
        <v>0.8621731632927406</v>
      </c>
      <c r="D14" s="21">
        <f>1/(1+Assumptions!$B$26)^(3-0.5*Assumptions!$B$32)</f>
        <v>0.7810116298048465</v>
      </c>
      <c r="E14" s="21">
        <f>1/(1+Assumptions!$B$26)^(4-0.5*Assumptions!$B$32)</f>
        <v>0.7074903184887367</v>
      </c>
      <c r="F14" s="21">
        <f>1/(1+Assumptions!$B$26)^(5-0.5*Assumptions!$B$32)</f>
        <v>0.6408900093848359</v>
      </c>
    </row>
    <row r="15" spans="1:6" x14ac:dyDescent="0.25">
      <c r="A15" s="19" t="s">
        <v>51</v>
      </c>
      <c r="B15" s="20">
        <f>B13*B14</f>
        <v>684361128.0164188</v>
      </c>
      <c r="C15" s="20">
        <f>C13*C14</f>
        <v>706913469.2729057</v>
      </c>
      <c r="D15" s="20">
        <f>D13*D14</f>
        <v>730208997.2408053</v>
      </c>
      <c r="E15" s="20">
        <f>E13*E14</f>
        <v>754272202.7914523</v>
      </c>
      <c r="F15" s="20">
        <f>F13*F14</f>
        <v>779128383.8649434</v>
      </c>
    </row>
    <row r="17" spans="1:2" x14ac:dyDescent="0.25">
      <c r="A17" s="22" t="s">
        <v>52</v>
      </c>
      <c r="B17" s="23">
        <f>SUM(B15:F15)</f>
        <v>3654884181.186526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1215697502.622637</v>
      </c>
    </row>
    <row r="5" spans="1:2" x14ac:dyDescent="0.25">
      <c r="A5" t="s">
        <v>56</v>
      </c>
      <c r="B5" s="18">
        <f>IF(Assumptions!$B$33=0,B4,B4-Forecast!F11-Forecast!F10-Forecast!F12)</f>
        <v>1200615807.2283611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0.24057321129884163</v>
      </c>
    </row>
    <row r="7" spans="1:2" x14ac:dyDescent="0.25">
      <c r="A7" t="s">
        <v>58</v>
      </c>
      <c r="B7" s="18">
        <f>-MAX(Forecast!F9,0)*B6</f>
        <v>-288836000.2810778</v>
      </c>
    </row>
    <row r="8" spans="1:2" x14ac:dyDescent="0.25">
      <c r="A8" t="s">
        <v>59</v>
      </c>
      <c r="B8" s="18">
        <f>IF(OR(Assumptions!$B$33=0,Assumptions!B12&lt;=0),B5,MAX(B5+B7,0))</f>
        <v>911779806.9472833</v>
      </c>
    </row>
    <row r="9" spans="1:2" x14ac:dyDescent="0.25">
      <c r="A9" t="s">
        <v>60</v>
      </c>
      <c r="B9" s="18">
        <f>B8*(1+Assumptions!B12)/(Assumptions!B26-Assumptions!B12)</f>
        <v>11842276011.524187</v>
      </c>
    </row>
    <row r="10" spans="1:2" x14ac:dyDescent="0.25">
      <c r="A10" t="s">
        <v>61</v>
      </c>
      <c r="B10" s="18">
        <f>B9/(1+Assumptions!B26)^(5-0.5*Assumptions!B32)</f>
        <v>7589596384.163553</v>
      </c>
    </row>
    <row r="11" spans="1:2" x14ac:dyDescent="0.25">
      <c r="A11" t="s">
        <v>62</v>
      </c>
      <c r="B11" s="18">
        <f>Forecast!B17+B10</f>
        <v>11244480565.350079</v>
      </c>
    </row>
    <row r="12" spans="1:2" x14ac:dyDescent="0.25">
      <c r="A12" t="s">
        <v>63</v>
      </c>
      <c r="B12" s="18">
        <f>-Assumptions!B30</f>
        <v>6464955000</v>
      </c>
    </row>
    <row r="13" spans="1:2" x14ac:dyDescent="0.25">
      <c r="A13" t="s">
        <v>64</v>
      </c>
      <c r="B13" s="18">
        <f>B11+B12</f>
        <v>17709435565.35008</v>
      </c>
    </row>
    <row r="14" spans="1:2" x14ac:dyDescent="0.25">
      <c r="A14" s="19" t="s">
        <v>65</v>
      </c>
      <c r="B14" s="24">
        <f>B13/Assumptions!B31</f>
        <v>106.04769942423474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1519646571.2180629</v>
      </c>
    </row>
    <row r="18" spans="1:2" x14ac:dyDescent="0.25">
      <c r="A18" t="s">
        <v>60</v>
      </c>
      <c r="B18" s="18">
        <f>B17*Assumptions!B13</f>
        <v>30392931424.36126</v>
      </c>
    </row>
    <row r="19" spans="1:2" x14ac:dyDescent="0.25">
      <c r="A19" t="s">
        <v>61</v>
      </c>
      <c r="B19" s="18">
        <f>B18/(1+Assumptions!B26)^(5-0.5*Assumptions!B32)</f>
        <v>19478526105.79156</v>
      </c>
    </row>
    <row r="20" spans="1:2" x14ac:dyDescent="0.25">
      <c r="A20" t="s">
        <v>62</v>
      </c>
      <c r="B20" s="18">
        <f>Forecast!B17+B19</f>
        <v>23133410286.97809</v>
      </c>
    </row>
    <row r="21" spans="1:2" x14ac:dyDescent="0.25">
      <c r="A21" t="s">
        <v>63</v>
      </c>
      <c r="B21" s="18">
        <f>-Assumptions!B30</f>
        <v>6464955000</v>
      </c>
    </row>
    <row r="22" spans="1:2" x14ac:dyDescent="0.25">
      <c r="A22" t="s">
        <v>64</v>
      </c>
      <c r="B22" s="18">
        <f>B20+B21</f>
        <v>29598365286.97809</v>
      </c>
    </row>
    <row r="23" spans="1:2" x14ac:dyDescent="0.25">
      <c r="A23" s="19" t="s">
        <v>65</v>
      </c>
      <c r="B23" s="25">
        <f>B22/Assumptions!B31</f>
        <v>177.24102689887775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260.21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106.04769942423474</v>
      </c>
    </row>
    <row r="29" spans="1:2" x14ac:dyDescent="0.25">
      <c r="A29" s="19" t="s">
        <v>73</v>
      </c>
      <c r="B29" s="12">
        <f>B28/B26-1</f>
        <v>-0.5924534052333317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0.083918</v>
      </c>
      <c r="B5" s="31">
        <v>124.40842895963662</v>
      </c>
      <c r="C5" s="31">
        <v>125.70279114411345</v>
      </c>
      <c r="D5" s="31">
        <v>127.17485581178853</v>
      </c>
      <c r="E5" s="31">
        <v>128.87405983435553</v>
      </c>
      <c r="F5" s="31">
        <v>130.8700522228814</v>
      </c>
    </row>
    <row r="6" spans="1:6" x14ac:dyDescent="0.25">
      <c r="A6" s="30">
        <v>0.093918</v>
      </c>
      <c r="B6" s="31">
        <v>113.69889784569293</v>
      </c>
      <c r="C6" s="31">
        <v>114.25676663536153</v>
      </c>
      <c r="D6" s="31">
        <v>114.86114122569428</v>
      </c>
      <c r="E6" s="31">
        <v>115.52293539700298</v>
      </c>
      <c r="F6" s="31">
        <v>116.2567676651</v>
      </c>
    </row>
    <row r="7" spans="1:6" x14ac:dyDescent="0.25">
      <c r="A7" s="30">
        <v>0.103918</v>
      </c>
      <c r="B7" s="31">
        <v>105.60461741400249</v>
      </c>
      <c r="C7" s="31">
        <v>105.82631662461374</v>
      </c>
      <c r="D7" s="32">
        <v>106.04801583522494</v>
      </c>
      <c r="E7" s="31">
        <v>106.2697150458362</v>
      </c>
      <c r="F7" s="31">
        <v>106.49141425644738</v>
      </c>
    </row>
    <row r="8" spans="1:6" x14ac:dyDescent="0.25">
      <c r="A8" s="30">
        <v>0.113918</v>
      </c>
      <c r="B8" s="31">
        <v>99.52266296791015</v>
      </c>
      <c r="C8" s="31">
        <v>99.71685828064223</v>
      </c>
      <c r="D8" s="31">
        <v>99.9110535933743</v>
      </c>
      <c r="E8" s="31">
        <v>100.1052489061064</v>
      </c>
      <c r="F8" s="31">
        <v>100.29944421883846</v>
      </c>
    </row>
    <row r="9" spans="1:6" x14ac:dyDescent="0.25">
      <c r="A9" s="30">
        <v>0.123918</v>
      </c>
      <c r="B9" s="31">
        <v>94.43316586729593</v>
      </c>
      <c r="C9" s="31">
        <v>94.60465254148079</v>
      </c>
      <c r="D9" s="31">
        <v>94.77613921566562</v>
      </c>
      <c r="E9" s="31">
        <v>94.94762588985049</v>
      </c>
      <c r="F9" s="31">
        <v>95.11911256403536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3195311000</v>
      </c>
      <c r="C5" s="18">
        <v>2746619000</v>
      </c>
      <c r="D5" s="18">
        <v>2363673000</v>
      </c>
      <c r="E5" s="18">
        <v>2155060000</v>
      </c>
      <c r="F5" s="8" t="s">
        <v>84</v>
      </c>
    </row>
    <row r="6" spans="1:6" x14ac:dyDescent="0.25">
      <c r="A6" t="s">
        <v>44</v>
      </c>
      <c r="B6" s="18">
        <v>916369000</v>
      </c>
      <c r="C6" s="18">
        <v>691435000</v>
      </c>
      <c r="D6" s="18">
        <v>429334000</v>
      </c>
      <c r="E6" s="18">
        <v>459091000</v>
      </c>
      <c r="F6" s="8" t="s">
        <v>85</v>
      </c>
    </row>
    <row r="7" spans="1:6" x14ac:dyDescent="0.25">
      <c r="A7" t="s">
        <v>86</v>
      </c>
      <c r="B7" s="18">
        <v>37972000</v>
      </c>
      <c r="C7" s="18">
        <v>39383000</v>
      </c>
      <c r="D7" s="18">
        <v>32628000</v>
      </c>
      <c r="E7" s="18">
        <v>29122000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89</v>
      </c>
    </row>
    <row r="9" spans="1:6" x14ac:dyDescent="0.25">
      <c r="A9" t="s">
        <v>90</v>
      </c>
      <c r="B9" s="18">
        <v>91938000</v>
      </c>
      <c r="C9" s="18">
        <v>-7620000</v>
      </c>
      <c r="D9" s="18">
        <v>-60823000</v>
      </c>
      <c r="E9" s="18">
        <v>-7340000</v>
      </c>
      <c r="F9" s="8" t="s">
        <v>91</v>
      </c>
    </row>
    <row r="10" spans="1:6" x14ac:dyDescent="0.25">
      <c r="A10" t="s">
        <v>92</v>
      </c>
      <c r="B10" s="18">
        <v>95859000</v>
      </c>
      <c r="C10" s="18">
        <v>75775000</v>
      </c>
      <c r="D10" s="18">
        <v>55775000</v>
      </c>
      <c r="E10" s="18">
        <v>60976000</v>
      </c>
      <c r="F10" s="8" t="s">
        <v>93</v>
      </c>
    </row>
    <row r="11" spans="1:6" x14ac:dyDescent="0.25">
      <c r="A11" t="s">
        <v>94</v>
      </c>
      <c r="B11" s="18">
        <v>6560814000</v>
      </c>
      <c r="C11" s="18">
        <v>5150227000</v>
      </c>
      <c r="D11" s="18">
        <v>4027756000</v>
      </c>
      <c r="E11" s="18">
        <v>3102628000</v>
      </c>
      <c r="F11" s="8" t="s">
        <v>95</v>
      </c>
    </row>
    <row r="12" spans="1:6" x14ac:dyDescent="0.25">
      <c r="A12" t="s">
        <v>32</v>
      </c>
      <c r="B12" s="34">
        <v>166995000</v>
      </c>
      <c r="C12" s="34">
        <v>165232000</v>
      </c>
      <c r="D12" s="34">
        <v>163486000</v>
      </c>
      <c r="E12" s="34">
        <v>162437000</v>
      </c>
      <c r="F12" s="8" t="s">
        <v>96</v>
      </c>
    </row>
    <row r="15" spans="1:1" x14ac:dyDescent="0.25">
      <c r="A15" s="19" t="s">
        <v>97</v>
      </c>
    </row>
    <row r="16" ht="86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2026-09-19T01:05:45Z</dcterms:modified>
</cp:coreProperties>
</file>