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<sst xmlns="http://schemas.openxmlformats.org/spreadsheetml/2006/main" count="113" uniqueCount="101">
  <si>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Virgin Australia Holdings Limited (VGN.AX)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</si>
  <si>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</si>
  <si>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</si>
  <si>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</si>
  <si>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</si>
  <si>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</si>
  <si>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</si>
  <si>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</si>
  <si>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</si>
  <si>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</si>
  <si>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</si>
  <si>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</si>
  <si>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</si>
  <si>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</si>
  <si>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</si>
  <si>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</si>
  <si>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</si>
  <si>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</si>
  <si>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</si>
  <si>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</si>
  <si>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</si>
  <si>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</si>
  <si>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15.6%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</si>
  <si>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</si>
  <si>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</si>
  <si>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</si>
  <si>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</si>
  <si>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</si>
  <si>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</si>
  <si>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</si>
  <si>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</si>
  <si>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</si>
  <si>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</si>
  <si>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</si>
  <si>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</si>
  <si>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</si>
  <si>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</si>
  <si>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</si>
  <si>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</si>
  <si>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</si>
  <si>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</si>
  <si>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</si>
  <si>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</si>
  <si>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</si>
  <si>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</si>
  <si>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</si>
  <si>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</si>
  <si>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</si>
  <si>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</si>
  <si>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</si>
  <si>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</si>
  <si>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</si>
  <si>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</si>
  <si>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</si>
  <si>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</si>
  <si>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</si>
  <si>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</si>
  <si>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</si>
  <si>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</si>
  <si>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</si>
  <si>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</si>
  <si>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</si>
  <si>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</si>
  <si>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</si>
  <si>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</si>
  <si>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</si>
  <si>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</si>
  <si>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</si>
  <si>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</si>
  <si>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</si>
  <si>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</si>
  <si>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</si>
  <si>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</si>
  <si>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</si>
  <si>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</si>
  <si>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</si>
  <si>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</si>
  <si>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</si>
  <si>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</si>
  <si>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</si>
  <si>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</si>
  <si>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</si>
  <si>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</si>
  <si>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</si>
  <si>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</si>
  <si>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</si>
  <si>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</si>
  <si>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</si>
  <si>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</si>
  <si>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</si>
  <si>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</si>
  <si>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</si>
  <si>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</si>
  <si>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</si>
  <si>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</si>
  <si>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</si>
  <si>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</si>
  <si>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</si>
  <si>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</si>
  <si>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Current EV/EBITDA of 2.7x sits outside a defensible 3-20x band, so the exit multiple is capped at 3.0x.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</si>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</sst>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0.12339821443421095</v>
      </c>
    </row>
    <row r="7" spans="1:2" x14ac:dyDescent="0.25">
      <c r="A7" t="s">
        <v>5</v>
      </c>
      <c r="B7" s="6">
        <v>0.09352786623395644</v>
      </c>
    </row>
    <row r="8" spans="1:2" x14ac:dyDescent="0.25">
      <c r="A8" t="s">
        <v>6</v>
      </c>
      <c r="B8" s="6">
        <v>0.044444444444444446</v>
      </c>
    </row>
    <row r="9" spans="1:2" x14ac:dyDescent="0.25">
      <c r="A9" t="s">
        <v>7</v>
      </c>
      <c r="B9" s="6">
        <v>0.06667340236685494</v>
      </c>
    </row>
    <row r="10" spans="1:2" x14ac:dyDescent="0.25">
      <c r="A10" t="s">
        <v>8</v>
      </c>
      <c r="B10" s="6">
        <v>0.07615651161742988</v>
      </c>
    </row>
    <row r="11" spans="1:2" x14ac:dyDescent="0.25">
      <c r="A11" t="s">
        <v>9</v>
      </c>
      <c r="B11" s="6">
        <v>-0.03905797101449275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0.4954628541585063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0.11348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2133110656</v>
      </c>
    </row>
    <row r="23" spans="1:2" x14ac:dyDescent="0.25">
      <c r="A23" t="s">
        <v>24</v>
      </c>
      <c r="B23" s="11">
        <v>2997600000</v>
      </c>
    </row>
    <row r="24" spans="1:2" x14ac:dyDescent="0.25">
      <c r="A24" t="s">
        <v>25</v>
      </c>
      <c r="B24" s="10">
        <f>B22/(B22+B23)</f>
        <v>0.4157534499641837</v>
      </c>
    </row>
    <row r="25" spans="1:2" x14ac:dyDescent="0.25">
      <c r="A25" t="s">
        <v>26</v>
      </c>
      <c r="B25" s="10">
        <f>1-B24</f>
        <v>0.5842465500358163</v>
      </c>
    </row>
    <row r="26" spans="1:2" x14ac:dyDescent="0.25">
      <c r="A26" t="s">
        <v>27</v>
      </c>
      <c r="B26" s="12">
        <f>B24*B20+B25*B21*(1-B8)</f>
        <v>0.08820211859871704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6324000000</v>
      </c>
      <c r="C29" s="8" t="s">
        <v>30</v>
      </c>
    </row>
    <row r="30" spans="1:2" x14ac:dyDescent="0.25">
      <c r="A30" t="s">
        <v>31</v>
      </c>
      <c r="B30" s="11">
        <v>1080000000</v>
      </c>
    </row>
    <row r="31" spans="1:2" x14ac:dyDescent="0.25">
      <c r="A31" t="s">
        <v>32</v>
      </c>
      <c r="B31" s="13">
        <v>768900000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0.12339821443421095</v>
      </c>
      <c r="C5" s="10">
        <f>Assumptions!B6</f>
        <v>0.12339821443421095</v>
      </c>
      <c r="D5" s="10">
        <f>Assumptions!B6</f>
        <v>0.12339821443421095</v>
      </c>
      <c r="E5" s="10">
        <f>Assumptions!B6</f>
        <v>0.12339821443421095</v>
      </c>
      <c r="F5" s="10">
        <f>Assumptions!B6</f>
        <v>0.12339821443421095</v>
      </c>
    </row>
    <row r="6" spans="1:6" x14ac:dyDescent="0.25">
      <c r="A6" t="s">
        <v>43</v>
      </c>
      <c r="B6" s="18">
        <f>Assumptions!B29*(1+B5)</f>
        <v>7104370308.08195</v>
      </c>
      <c r="C6" s="18">
        <f>B6*(1+C5)</f>
        <v>7981036918.778688</v>
      </c>
      <c r="D6" s="18">
        <f>C6*(1+D5)</f>
        <v>8965882623.889496</v>
      </c>
      <c r="E6" s="18">
        <f>D6*(1+E5)</f>
        <v>10072256530.504177</v>
      </c>
      <c r="F6" s="18">
        <f>E6*(1+F5)</f>
        <v>11315155001.691713</v>
      </c>
    </row>
    <row r="7" spans="1:6" x14ac:dyDescent="0.25">
      <c r="A7" t="s">
        <v>5</v>
      </c>
      <c r="B7" s="10">
        <f>Assumptions!B7</f>
        <v>0.09352786623395644</v>
      </c>
      <c r="C7" s="10">
        <f>Assumptions!B7</f>
        <v>0.09352786623395644</v>
      </c>
      <c r="D7" s="10">
        <f>Assumptions!B7</f>
        <v>0.09352786623395644</v>
      </c>
      <c r="E7" s="10">
        <f>Assumptions!B7</f>
        <v>0.09352786623395644</v>
      </c>
      <c r="F7" s="10">
        <f>Assumptions!B7</f>
        <v>0.09352786623395644</v>
      </c>
    </row>
    <row r="8" spans="1:6" x14ac:dyDescent="0.25">
      <c r="A8" t="s">
        <v>44</v>
      </c>
      <c r="B8" s="18">
        <f>B6*B7</f>
        <v>664456595.8507805</v>
      </c>
      <c r="C8" s="18">
        <f>C6*C7</f>
        <v>746449353.3478011</v>
      </c>
      <c r="D8" s="18">
        <f>D6*D7</f>
        <v>838559870.7164911</v>
      </c>
      <c r="E8" s="18">
        <f>E6*E7</f>
        <v>942036661.4590888</v>
      </c>
      <c r="F8" s="18">
        <f>F6*F7</f>
        <v>1058282303.4147058</v>
      </c>
    </row>
    <row r="9" spans="1:6" x14ac:dyDescent="0.25">
      <c r="A9" t="s">
        <v>45</v>
      </c>
      <c r="B9" s="18">
        <f>B8*(1-Assumptions!B8)</f>
        <v>634925191.5907458</v>
      </c>
      <c r="C9" s="18">
        <f>C8*(1-Assumptions!B8)</f>
        <v>713273826.5323433</v>
      </c>
      <c r="D9" s="18">
        <f>D8*(1-Assumptions!B8)</f>
        <v>801290543.1290915</v>
      </c>
      <c r="E9" s="18">
        <f>E8*(1-Assumptions!B8)</f>
        <v>900168365.3942405</v>
      </c>
      <c r="F9" s="18">
        <f>F8*(1-Assumptions!B8)</f>
        <v>1011247534.3740522</v>
      </c>
    </row>
    <row r="10" spans="1:6" x14ac:dyDescent="0.25">
      <c r="A10" t="s">
        <v>46</v>
      </c>
      <c r="B10" s="18">
        <f>B6*Assumptions!B9</f>
        <v>473672540.11388505</v>
      </c>
      <c r="C10" s="18">
        <f>C6*Assumptions!B9</f>
        <v>532122885.7904557</v>
      </c>
      <c r="D10" s="18">
        <f>D6*Assumptions!B9</f>
        <v>597785899.7565775</v>
      </c>
      <c r="E10" s="18">
        <f>E6*Assumptions!B9</f>
        <v>671551612.4004873</v>
      </c>
      <c r="F10" s="18">
        <f>F6*Assumptions!B9</f>
        <v>754419882.2711228</v>
      </c>
    </row>
    <row r="11" spans="1:6" x14ac:dyDescent="0.25">
      <c r="A11" t="s">
        <v>47</v>
      </c>
      <c r="B11" s="18">
        <f>-B6*Assumptions!B10</f>
        <v>-541044059.9019669</v>
      </c>
      <c r="C11" s="18">
        <f>-C6*Assumptions!B10</f>
        <v>-607807930.824106</v>
      </c>
      <c r="D11" s="18">
        <f>-D6*Assumptions!B10</f>
        <v>-682810344.2067531</v>
      </c>
      <c r="E11" s="18">
        <f>-E6*Assumptions!B10</f>
        <v>-767067921.4790753</v>
      </c>
      <c r="F11" s="18">
        <f>-F6*Assumptions!B10</f>
        <v>-861722733.3393548</v>
      </c>
    </row>
    <row r="12" spans="1:6" x14ac:dyDescent="0.25">
      <c r="A12" t="s">
        <v>48</v>
      </c>
      <c r="B12" s="18">
        <f>-(B6-Assumptions!B29)*Assumptions!B11</f>
        <v>30479680.87363559</v>
      </c>
      <c r="C12" s="18">
        <f>-(C6-B6)*Assumptions!B11</f>
        <v>34240819.0699668</v>
      </c>
      <c r="D12" s="18">
        <f>-(D6-C6)*Assumptions!B11</f>
        <v>38466075.003965594</v>
      </c>
      <c r="E12" s="18">
        <f>-(E6-D6)*Assumptions!B11</f>
        <v>43212719.97574733</v>
      </c>
      <c r="F12" s="18">
        <f>-(F6-E6)*Assumptions!B11</f>
        <v>48545092.46160015</v>
      </c>
    </row>
    <row r="13" spans="1:6" x14ac:dyDescent="0.25">
      <c r="A13" s="19" t="s">
        <v>49</v>
      </c>
      <c r="B13" s="20">
        <f>B9+B10+B11+B12</f>
        <v>598033352.6762996</v>
      </c>
      <c r="C13" s="20">
        <f>C9+C10+C11+C12</f>
        <v>671829600.5686598</v>
      </c>
      <c r="D13" s="20">
        <f>D9+D10+D11+D12</f>
        <v>754732173.6828815</v>
      </c>
      <c r="E13" s="20">
        <f>E9+E10+E11+E12</f>
        <v>847864776.2913998</v>
      </c>
      <c r="F13" s="20">
        <f>F9+F10+F11+F12</f>
        <v>952489775.7674204</v>
      </c>
    </row>
    <row r="14" spans="1:6" x14ac:dyDescent="0.25">
      <c r="A14" t="s">
        <v>50</v>
      </c>
      <c r="B14" s="21">
        <f>1/(1+Assumptions!$B$26)^(1-0.5*Assumptions!$B$32)</f>
        <v>0.95861719866617</v>
      </c>
      <c r="C14" s="21">
        <f>1/(1+Assumptions!$B$26)^(2-0.5*Assumptions!$B$32)</f>
        <v>0.8809183351899609</v>
      </c>
      <c r="D14" s="21">
        <f>1/(1+Assumptions!$B$26)^(3-0.5*Assumptions!$B$32)</f>
        <v>0.809517202855958</v>
      </c>
      <c r="E14" s="21">
        <f>1/(1+Assumptions!$B$26)^(4-0.5*Assumptions!$B$32)</f>
        <v>0.7439033512435881</v>
      </c>
      <c r="F14" s="21">
        <f>1/(1+Assumptions!$B$26)^(5-0.5*Assumptions!$B$32)</f>
        <v>0.6836077035041209</v>
      </c>
    </row>
    <row r="15" spans="1:6" x14ac:dyDescent="0.25">
      <c r="A15" s="19" t="s">
        <v>51</v>
      </c>
      <c r="B15" s="20">
        <f>B13*B14</f>
        <v>573285057.251492</v>
      </c>
      <c r="C15" s="20">
        <f>C13*C14</f>
        <v>591827013.2642802</v>
      </c>
      <c r="D15" s="20">
        <f>D13*D14</f>
        <v>610968678.1451633</v>
      </c>
      <c r="E15" s="20">
        <f>E13*E14</f>
        <v>630729448.4845674</v>
      </c>
      <c r="F15" s="20">
        <f>F13*F14</f>
        <v>651129348.2235214</v>
      </c>
    </row>
    <row r="17" spans="1:2" x14ac:dyDescent="0.25">
      <c r="A17" s="22" t="s">
        <v>52</v>
      </c>
      <c r="B17" s="23">
        <f>SUM(B15:F15)</f>
        <v>3057939545.3690243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952489775.7674204</v>
      </c>
    </row>
    <row r="5" spans="1:2" x14ac:dyDescent="0.25">
      <c r="A5" t="s">
        <v>56</v>
      </c>
      <c r="B5" s="18">
        <f>IF(Assumptions!$B$33=0,B4,B4-Forecast!F11-Forecast!F10-Forecast!F12)</f>
        <v>1011247534.3740522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0.0504578694248633</v>
      </c>
    </row>
    <row r="7" spans="1:2" x14ac:dyDescent="0.25">
      <c r="A7" t="s">
        <v>58</v>
      </c>
      <c r="B7" s="18">
        <f>-MAX(Forecast!F9,0)*B6</f>
        <v>-51025396.04566088</v>
      </c>
    </row>
    <row r="8" spans="1:2" x14ac:dyDescent="0.25">
      <c r="A8" t="s">
        <v>59</v>
      </c>
      <c r="B8" s="18">
        <f>IF(OR(Assumptions!$B$33=0,Assumptions!B12&lt;=0),B5,MAX(B5+B7,0))</f>
        <v>960222138.3283913</v>
      </c>
    </row>
    <row r="9" spans="1:2" x14ac:dyDescent="0.25">
      <c r="A9" t="s">
        <v>60</v>
      </c>
      <c r="B9" s="18">
        <f>B8*(1+Assumptions!B12)/(Assumptions!B26-Assumptions!B12)</f>
        <v>15572700941.176678</v>
      </c>
    </row>
    <row r="10" spans="1:2" x14ac:dyDescent="0.25">
      <c r="A10" t="s">
        <v>61</v>
      </c>
      <c r="B10" s="18">
        <f>B9/(1+Assumptions!B26)^(5-0.5*Assumptions!B32)</f>
        <v>10645618327.754251</v>
      </c>
    </row>
    <row r="11" spans="1:2" x14ac:dyDescent="0.25">
      <c r="A11" t="s">
        <v>62</v>
      </c>
      <c r="B11" s="18">
        <f>Forecast!B17+B10</f>
        <v>13703557873.123276</v>
      </c>
    </row>
    <row r="12" spans="1:2" x14ac:dyDescent="0.25">
      <c r="A12" t="s">
        <v>63</v>
      </c>
      <c r="B12" s="18">
        <f>-Assumptions!B30</f>
        <v>-1080000000</v>
      </c>
    </row>
    <row r="13" spans="1:2" x14ac:dyDescent="0.25">
      <c r="A13" t="s">
        <v>64</v>
      </c>
      <c r="B13" s="18">
        <f>B11+B12</f>
        <v>12623557873.123276</v>
      </c>
    </row>
    <row r="14" spans="1:2" x14ac:dyDescent="0.25">
      <c r="A14" s="19" t="s">
        <v>65</v>
      </c>
      <c r="B14" s="24">
        <f>B13/Assumptions!B31</f>
        <v>16.417684839541263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1812702185.6858287</v>
      </c>
    </row>
    <row r="18" spans="1:2" x14ac:dyDescent="0.25">
      <c r="A18" t="s">
        <v>60</v>
      </c>
      <c r="B18" s="18">
        <f>B17*Assumptions!B13</f>
        <v>5438106557.057486</v>
      </c>
    </row>
    <row r="19" spans="1:2" x14ac:dyDescent="0.25">
      <c r="A19" t="s">
        <v>61</v>
      </c>
      <c r="B19" s="18">
        <f>B18/(1+Assumptions!B26)^(5-0.5*Assumptions!B32)</f>
        <v>3717531534.8807693</v>
      </c>
    </row>
    <row r="20" spans="1:2" x14ac:dyDescent="0.25">
      <c r="A20" t="s">
        <v>62</v>
      </c>
      <c r="B20" s="18">
        <f>Forecast!B17+B19</f>
        <v>6775471080.249794</v>
      </c>
    </row>
    <row r="21" spans="1:2" x14ac:dyDescent="0.25">
      <c r="A21" t="s">
        <v>63</v>
      </c>
      <c r="B21" s="18">
        <f>-Assumptions!B30</f>
        <v>-1080000000</v>
      </c>
    </row>
    <row r="22" spans="1:2" x14ac:dyDescent="0.25">
      <c r="A22" t="s">
        <v>64</v>
      </c>
      <c r="B22" s="18">
        <f>B20+B21</f>
        <v>5695471080.249794</v>
      </c>
    </row>
    <row r="23" spans="1:2" x14ac:dyDescent="0.25">
      <c r="A23" s="19" t="s">
        <v>65</v>
      </c>
      <c r="B23" s="25">
        <f>B22/Assumptions!B31</f>
        <v>7.407297542267908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16.417684839541263</v>
      </c>
    </row>
    <row r="29" spans="1:2" x14ac:dyDescent="0.25">
      <c r="A29" s="19" t="s">
        <v>73</v>
      </c>
      <c r="B29" s="12">
        <f>B28/B26-1</f>
        <v>5.035913543948993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0.068202</v>
      </c>
      <c r="B5" s="31">
        <v>20.84904758979841</v>
      </c>
      <c r="C5" s="31">
        <v>22.614244476761407</v>
      </c>
      <c r="D5" s="31">
        <v>24.785749856275487</v>
      </c>
      <c r="E5" s="31">
        <v>27.523100595213243</v>
      </c>
      <c r="F5" s="31">
        <v>31.081934317553806</v>
      </c>
    </row>
    <row r="6" spans="1:6" x14ac:dyDescent="0.25">
      <c r="A6" s="30">
        <v>0.078202</v>
      </c>
      <c r="B6" s="31">
        <v>17.263590171931163</v>
      </c>
      <c r="C6" s="31">
        <v>18.429785999593992</v>
      </c>
      <c r="D6" s="31">
        <v>19.81340558979938</v>
      </c>
      <c r="E6" s="31">
        <v>21.48210913171246</v>
      </c>
      <c r="F6" s="31">
        <v>23.534879526023374</v>
      </c>
    </row>
    <row r="7" spans="1:6" x14ac:dyDescent="0.25">
      <c r="A7" s="30">
        <v>0.088202</v>
      </c>
      <c r="B7" s="31">
        <v>14.66132317886707</v>
      </c>
      <c r="C7" s="31">
        <v>15.4758039981375</v>
      </c>
      <c r="D7" s="32">
        <v>16.41771872162248</v>
      </c>
      <c r="E7" s="31">
        <v>17.51991001045425</v>
      </c>
      <c r="F7" s="31">
        <v>18.82756692670193</v>
      </c>
    </row>
    <row r="8" spans="1:6" x14ac:dyDescent="0.25">
      <c r="A8" s="30">
        <v>0.098202</v>
      </c>
      <c r="B8" s="31">
        <v>12.68758436707366</v>
      </c>
      <c r="C8" s="31">
        <v>13.280116756020947</v>
      </c>
      <c r="D8" s="31">
        <v>13.952404510913796</v>
      </c>
      <c r="E8" s="31">
        <v>14.721988620127677</v>
      </c>
      <c r="F8" s="31">
        <v>15.611960842069214</v>
      </c>
    </row>
    <row r="9" spans="1:6" x14ac:dyDescent="0.25">
      <c r="A9" s="30">
        <v>0.108202</v>
      </c>
      <c r="B9" s="31">
        <v>11.139931751060178</v>
      </c>
      <c r="C9" s="31">
        <v>11.584686321673162</v>
      </c>
      <c r="D9" s="31">
        <v>12.081891005946527</v>
      </c>
      <c r="E9" s="31">
        <v>12.641606310068168</v>
      </c>
      <c r="F9" s="31">
        <v>13.276641437307452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6324000000</v>
      </c>
      <c r="C5" s="18">
        <v>5634000000</v>
      </c>
      <c r="D5" s="18">
        <v>5011000000</v>
      </c>
      <c r="E5" s="8" t="s">
        <v>83</v>
      </c>
    </row>
    <row r="6" spans="1:5" x14ac:dyDescent="0.25">
      <c r="A6" t="s">
        <v>44</v>
      </c>
      <c r="B6" s="18">
        <v>706000000</v>
      </c>
      <c r="C6" s="18">
        <v>682000000</v>
      </c>
      <c r="D6" s="18">
        <v>240000000</v>
      </c>
      <c r="E6" s="8" t="s">
        <v>84</v>
      </c>
    </row>
    <row r="7" spans="1:5" x14ac:dyDescent="0.25">
      <c r="A7" t="s">
        <v>85</v>
      </c>
      <c r="B7" s="18">
        <v>492200000</v>
      </c>
      <c r="C7" s="18">
        <v>341000000</v>
      </c>
      <c r="D7" s="18">
        <v>309000000</v>
      </c>
      <c r="E7" s="8" t="s">
        <v>86</v>
      </c>
    </row>
    <row r="8" spans="1:5" x14ac:dyDescent="0.25">
      <c r="A8" t="s">
        <v>87</v>
      </c>
      <c r="B8" s="18">
        <v>884000000</v>
      </c>
      <c r="C8" s="18">
        <v>331000000</v>
      </c>
      <c r="D8" s="18">
        <v>150000000</v>
      </c>
      <c r="E8" s="8" t="s">
        <v>88</v>
      </c>
    </row>
    <row r="9" spans="1:5" x14ac:dyDescent="0.25">
      <c r="A9" t="s">
        <v>89</v>
      </c>
      <c r="B9" s="18">
        <v>-53900000</v>
      </c>
      <c r="C9" s="18">
        <v>0</v>
      </c>
      <c r="D9" s="18">
        <v>0</v>
      </c>
      <c r="E9" s="8" t="s">
        <v>90</v>
      </c>
    </row>
    <row r="10" spans="1:5" x14ac:dyDescent="0.25">
      <c r="A10" t="s">
        <v>91</v>
      </c>
      <c r="B10" s="18">
        <v>2997600000</v>
      </c>
      <c r="C10" s="18">
        <v>0</v>
      </c>
      <c r="D10" s="18">
        <v>0</v>
      </c>
      <c r="E10" s="8" t="s">
        <v>92</v>
      </c>
    </row>
    <row r="11" spans="1:5" x14ac:dyDescent="0.25">
      <c r="A11" t="s">
        <v>93</v>
      </c>
      <c r="B11" s="18">
        <v>1917600000</v>
      </c>
      <c r="C11" s="18">
        <v>0</v>
      </c>
      <c r="D11" s="18">
        <v>0</v>
      </c>
      <c r="E11" s="8" t="s">
        <v>94</v>
      </c>
    </row>
    <row r="12" spans="1:5" x14ac:dyDescent="0.25">
      <c r="A12" t="s">
        <v>32</v>
      </c>
      <c r="B12" s="34">
        <v>768900000</v>
      </c>
      <c r="C12" s="34">
        <v>781990466</v>
      </c>
      <c r="D12" s="34">
        <v>781990466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38" customHeight="1" spans="1:5" x14ac:dyDescent="0.25">
      <c r="A18" s="35" t="s">
        <v>99</v>
      </c>
      <c r="B18" s="35"/>
      <c r="C18" s="35"/>
      <c r="D18" s="35"/>
      <c r="E18" s="35"/>
    </row>
    <row r="20" spans="1:1" x14ac:dyDescent="0.25">
      <c r="A20" s="36" t="s">
        <v>100</v>
      </c>
    </row>
  </sheetData>
  <mergeCells count="3">
    <mergeCell ref="A16:E16"/>
    <mergeCell ref="A17:E17"/>
    <mergeCell ref="A18:E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