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<sst xmlns="http://schemas.openxmlformats.org/spreadsheetml/2006/main" count="116" uniqueCount="102">
  <si>
    <t>Vital Healthcare Property Trust (VHP.NZ)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</si>
  <si>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</si>
  <si>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</si>
  <si>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</si>
  <si>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</si>
  <si>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</si>
  <si>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</si>
  <si>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</si>
  <si>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</si>
  <si>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</si>
  <si>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</si>
  <si>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</si>
  <si>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</si>
  <si>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</si>
  <si>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</si>
  <si>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</si>
  <si>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</si>
  <si>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</si>
  <si>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</si>
  <si>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</si>
  <si>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</si>
  <si>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</si>
  <si>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</si>
  <si>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</si>
  <si>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</si>
  <si>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</si>
  <si>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</si>
  <si>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</si>
  <si>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</si>
  <si>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</si>
  <si>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</si>
  <si>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</si>
  <si>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</si>
  <si>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</si>
  <si>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</si>
  <si>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</si>
  <si>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</si>
  <si>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</si>
  <si>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</si>
  <si>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</si>
  <si>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</si>
  <si>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</si>
  <si>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</si>
  <si>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</si>
  <si>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</si>
  <si>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</si>
  <si>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</si>
  <si>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</si>
  <si>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</si>
  <si>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</si>
  <si>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</si>
  <si>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</si>
  <si>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</si>
  <si>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</si>
  <si>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</si>
  <si>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</si>
  <si>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</si>
  <si>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</si>
  <si>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</si>
  <si>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</si>
  <si>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</si>
  <si>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</si>
  <si>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</si>
  <si>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</si>
  <si>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</si>
  <si>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</si>
  <si>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</si>
  <si>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</si>
  <si>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</si>
  <si>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</si>
  <si>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</si>
  <si>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</si>
  <si>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</si>
  <si>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</si>
  <si>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</si>
  <si>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</si>
  <si>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</si>
  <si>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</si>
  <si>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</si>
  <si>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</si>
  <si>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</si>
  <si>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</si>
  <si>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</si>
  <si>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</si>
  <si>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</si>
  <si>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</si>
  <si>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</si>
  <si>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derived</t>
  </si>
  <si>
    <t>Capital expenditure</t>
  </si>
  <si>
    <t>Change in working 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</si>
  <si>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</si>
  <si>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</si>
  <si>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</si>
  <si>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</si>
  <si>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</si>
  <si>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</si>
  <si>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Some line items were not reported and have been derived. Each one is labelled in the workings below.</t>
  </si>
  <si>
    <t>Adjusted: Reported capital expenditure averages just 0.00%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</si>
  <si>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</si>
  <si>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NZD assumption - no free live source available for this market.</t>
  </si>
  <si>
    <t>Current EV/EBITDA of 20.7x sits outside a defensible 3-20x band, so the exit multiple is capped at 20.0x. A multiple that far out usually means EBITDA is the wrong denominator for this business.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</si>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</sst>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0.04281477473595152</v>
      </c>
    </row>
    <row r="7" spans="1:2" x14ac:dyDescent="0.25">
      <c r="A7" t="s">
        <v>5</v>
      </c>
      <c r="B7" s="6">
        <v>0.6866222541333958</v>
      </c>
    </row>
    <row r="8" spans="1:2" x14ac:dyDescent="0.25">
      <c r="A8" t="s">
        <v>6</v>
      </c>
      <c r="B8" s="6">
        <v>0.28</v>
      </c>
    </row>
    <row r="9" spans="1:2" x14ac:dyDescent="0.25">
      <c r="A9" t="s">
        <v>7</v>
      </c>
      <c r="B9" s="6">
        <v>0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-0.5272464814146518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0.062092301769076076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0.6877800000000001</v>
      </c>
      <c r="C19" s="8" t="s">
        <v>19</v>
      </c>
    </row>
    <row r="20" spans="1:2" x14ac:dyDescent="0.25">
      <c r="A20" t="s">
        <v>20</v>
      </c>
      <c r="B20" s="10">
        <f>B17+B19*B18</f>
        <v>0.0897057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1549683968</v>
      </c>
    </row>
    <row r="23" spans="1:2" x14ac:dyDescent="0.25">
      <c r="A23" t="s">
        <v>24</v>
      </c>
      <c r="B23" s="11">
        <v>1441183000</v>
      </c>
    </row>
    <row r="24" spans="1:2" x14ac:dyDescent="0.25">
      <c r="A24" t="s">
        <v>25</v>
      </c>
      <c r="B24" s="10">
        <f>B22/(B22+B23)</f>
        <v>0.5181387151553175</v>
      </c>
    </row>
    <row r="25" spans="1:2" x14ac:dyDescent="0.25">
      <c r="A25" t="s">
        <v>26</v>
      </c>
      <c r="B25" s="10">
        <f>1-B24</f>
        <v>0.4818612848446825</v>
      </c>
    </row>
    <row r="26" spans="1:2" x14ac:dyDescent="0.25">
      <c r="A26" t="s">
        <v>27</v>
      </c>
      <c r="B26" s="12">
        <f>B24*B20+B25*B21*(1-B8)</f>
        <v>0.062092301769076076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194275000</v>
      </c>
      <c r="C29" s="8" t="s">
        <v>30</v>
      </c>
    </row>
    <row r="30" spans="1:2" x14ac:dyDescent="0.25">
      <c r="A30" t="s">
        <v>31</v>
      </c>
      <c r="B30" s="11">
        <v>1427374000</v>
      </c>
    </row>
    <row r="31" spans="1:2" x14ac:dyDescent="0.25">
      <c r="A31" t="s">
        <v>32</v>
      </c>
      <c r="B31" s="13">
        <v>807127000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0.04281477473595152</v>
      </c>
      <c r="C5" s="10">
        <f>Assumptions!B6</f>
        <v>0.04281477473595152</v>
      </c>
      <c r="D5" s="10">
        <f>Assumptions!B6</f>
        <v>0.04281477473595152</v>
      </c>
      <c r="E5" s="10">
        <f>Assumptions!B6</f>
        <v>0.04281477473595152</v>
      </c>
      <c r="F5" s="10">
        <f>Assumptions!B6</f>
        <v>0.04281477473595152</v>
      </c>
    </row>
    <row r="6" spans="1:6" x14ac:dyDescent="0.25">
      <c r="A6" t="s">
        <v>43</v>
      </c>
      <c r="B6" s="18">
        <f>Assumptions!B29*(1+B5)</f>
        <v>202592840.361827</v>
      </c>
      <c r="C6" s="18">
        <f>B6*(1+C5)</f>
        <v>211266807.1850352</v>
      </c>
      <c r="D6" s="18">
        <f>C6*(1+D5)</f>
        <v>220312147.9438462</v>
      </c>
      <c r="E6" s="18">
        <f>D6*(1+E5)</f>
        <v>229744762.92965558</v>
      </c>
      <c r="F6" s="18">
        <f>E6*(1+F5)</f>
        <v>239581233.20125338</v>
      </c>
    </row>
    <row r="7" spans="1:6" x14ac:dyDescent="0.25">
      <c r="A7" t="s">
        <v>5</v>
      </c>
      <c r="B7" s="10">
        <f>Assumptions!B7</f>
        <v>0.6866222541333958</v>
      </c>
      <c r="C7" s="10">
        <f>Assumptions!B7</f>
        <v>0.6866222541333958</v>
      </c>
      <c r="D7" s="10">
        <f>Assumptions!B7</f>
        <v>0.6866222541333958</v>
      </c>
      <c r="E7" s="10">
        <f>Assumptions!B7</f>
        <v>0.6866222541333958</v>
      </c>
      <c r="F7" s="10">
        <f>Assumptions!B7</f>
        <v>0.6866222541333958</v>
      </c>
    </row>
    <row r="8" spans="1:6" x14ac:dyDescent="0.25">
      <c r="A8" t="s">
        <v>44</v>
      </c>
      <c r="B8" s="18">
        <f>B6*B7</f>
        <v>139104752.72052485</v>
      </c>
      <c r="C8" s="18">
        <f>C6*C7</f>
        <v>145060491.37295437</v>
      </c>
      <c r="D8" s="18">
        <f>D6*D7</f>
        <v>151271223.63417387</v>
      </c>
      <c r="E8" s="18">
        <f>E6*E7</f>
        <v>157747866.99810275</v>
      </c>
      <c r="F8" s="18">
        <f>F6*F7</f>
        <v>164501806.38870338</v>
      </c>
    </row>
    <row r="9" spans="1:6" x14ac:dyDescent="0.25">
      <c r="A9" t="s">
        <v>45</v>
      </c>
      <c r="B9" s="18">
        <f>B8*(1-Assumptions!B8)</f>
        <v>100155421.95877789</v>
      </c>
      <c r="C9" s="18">
        <f>C8*(1-Assumptions!B8)</f>
        <v>104443553.78852715</v>
      </c>
      <c r="D9" s="18">
        <f>D8*(1-Assumptions!B8)</f>
        <v>108915281.01660518</v>
      </c>
      <c r="E9" s="18">
        <f>E8*(1-Assumptions!B8)</f>
        <v>113578464.23863398</v>
      </c>
      <c r="F9" s="18">
        <f>F8*(1-Assumptions!B8)</f>
        <v>118441300.59986642</v>
      </c>
    </row>
    <row r="10" spans="1:6" x14ac:dyDescent="0.25">
      <c r="A10" t="s">
        <v>46</v>
      </c>
      <c r="B10" s="18">
        <f>B6*Assumptions!B9</f>
        <v>0</v>
      </c>
      <c r="C10" s="18">
        <f>C6*Assumptions!B9</f>
        <v>0</v>
      </c>
      <c r="D10" s="18">
        <f>D6*Assumptions!B9</f>
        <v>0</v>
      </c>
      <c r="E10" s="18">
        <f>E6*Assumptions!B9</f>
        <v>0</v>
      </c>
      <c r="F10" s="18">
        <f>F6*Assumptions!B9</f>
        <v>0</v>
      </c>
    </row>
    <row r="11" spans="1:6" x14ac:dyDescent="0.25">
      <c r="A11" t="s">
        <v>47</v>
      </c>
      <c r="B11" s="18">
        <f>-B6*Assumptions!B10</f>
        <v>-2025928.4036182698</v>
      </c>
      <c r="C11" s="18">
        <f>-C6*Assumptions!B10</f>
        <v>-2112668.071850352</v>
      </c>
      <c r="D11" s="18">
        <f>-D6*Assumptions!B10</f>
        <v>-2203121.479438462</v>
      </c>
      <c r="E11" s="18">
        <f>-E6*Assumptions!B10</f>
        <v>-2297447.6292965556</v>
      </c>
      <c r="F11" s="18">
        <f>-F6*Assumptions!B10</f>
        <v>-2395812.3320125337</v>
      </c>
    </row>
    <row r="12" spans="1:6" x14ac:dyDescent="0.25">
      <c r="A12" t="s">
        <v>48</v>
      </c>
      <c r="B12" s="18">
        <f>-(B6-Assumptions!B29)*Assumptions!B11</f>
        <v>4385552.063742053</v>
      </c>
      <c r="C12" s="18">
        <f>-(C6-B6)*Assumptions!B11</f>
        <v>4573318.487443956</v>
      </c>
      <c r="D12" s="18">
        <f>-(D6-C6)*Assumptions!B11</f>
        <v>4769124.088279635</v>
      </c>
      <c r="E12" s="18">
        <f>-(E6-D6)*Assumptions!B11</f>
        <v>4973313.061807115</v>
      </c>
      <c r="F12" s="18">
        <f>-(F6-E6)*Assumptions!B11</f>
        <v>5186244.340239766</v>
      </c>
    </row>
    <row r="13" spans="1:6" x14ac:dyDescent="0.25">
      <c r="A13" s="19" t="s">
        <v>49</v>
      </c>
      <c r="B13" s="20">
        <f>B9+B10+B11+B12</f>
        <v>102515045.61890167</v>
      </c>
      <c r="C13" s="20">
        <f>C9+C10+C11+C12</f>
        <v>106904204.20412076</v>
      </c>
      <c r="D13" s="20">
        <f>D9+D10+D11+D12</f>
        <v>111481283.62544635</v>
      </c>
      <c r="E13" s="20">
        <f>E9+E10+E11+E12</f>
        <v>116254329.67114453</v>
      </c>
      <c r="F13" s="20">
        <f>F9+F10+F11+F12</f>
        <v>121231732.60809365</v>
      </c>
    </row>
    <row r="14" spans="1:6" x14ac:dyDescent="0.25">
      <c r="A14" t="s">
        <v>50</v>
      </c>
      <c r="B14" s="21">
        <f>1/(1+Assumptions!$B$26)^(1-0.5*Assumptions!$B$32)</f>
        <v>0.9703286833192241</v>
      </c>
      <c r="C14" s="21">
        <f>1/(1+Assumptions!$B$26)^(2-0.5*Assumptions!$B$32)</f>
        <v>0.9136010888159102</v>
      </c>
      <c r="D14" s="21">
        <f>1/(1+Assumptions!$B$26)^(3-0.5*Assumptions!$B$32)</f>
        <v>0.8601899169160429</v>
      </c>
      <c r="E14" s="21">
        <f>1/(1+Assumptions!$B$26)^(4-0.5*Assumptions!$B$32)</f>
        <v>0.8099012821044517</v>
      </c>
      <c r="F14" s="21">
        <f>1/(1+Assumptions!$B$26)^(5-0.5*Assumptions!$B$32)</f>
        <v>0.7625526338487137</v>
      </c>
    </row>
    <row r="15" spans="1:6" x14ac:dyDescent="0.25">
      <c r="A15" s="19" t="s">
        <v>51</v>
      </c>
      <c r="B15" s="20">
        <f>B13*B14</f>
        <v>99473289.23579904</v>
      </c>
      <c r="C15" s="20">
        <f>C13*C14</f>
        <v>97667797.35988313</v>
      </c>
      <c r="D15" s="20">
        <f>D13*D14</f>
        <v>95895076.0994665</v>
      </c>
      <c r="E15" s="20">
        <f>E13*E14</f>
        <v>94154530.65085356</v>
      </c>
      <c r="F15" s="20">
        <f>F13*F14</f>
        <v>92445577.00634481</v>
      </c>
    </row>
    <row r="17" spans="1:2" x14ac:dyDescent="0.25">
      <c r="A17" s="22" t="s">
        <v>52</v>
      </c>
      <c r="B17" s="23">
        <f>SUM(B15:F15)</f>
        <v>479636270.3523471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121231732.60809365</v>
      </c>
    </row>
    <row r="5" spans="1:2" x14ac:dyDescent="0.25">
      <c r="A5" t="s">
        <v>56</v>
      </c>
      <c r="B5" s="18">
        <f>IF(Assumptions!$B$33=0,B4,B4-Forecast!F11-Forecast!F10-Forecast!F12)</f>
        <v>118441300.59986642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0.4026264011435116</v>
      </c>
    </row>
    <row r="7" spans="1:2" x14ac:dyDescent="0.25">
      <c r="A7" t="s">
        <v>58</v>
      </c>
      <c r="B7" s="18">
        <f>-MAX(Forecast!F9,0)*B6</f>
        <v>-47687594.60728106</v>
      </c>
    </row>
    <row r="8" spans="1:2" x14ac:dyDescent="0.25">
      <c r="A8" t="s">
        <v>59</v>
      </c>
      <c r="B8" s="18">
        <f>IF(OR(Assumptions!$B$33=0,Assumptions!B12&lt;=0),B5,MAX(B5+B7,0))</f>
        <v>70753705.99258536</v>
      </c>
    </row>
    <row r="9" spans="1:2" x14ac:dyDescent="0.25">
      <c r="A9" t="s">
        <v>60</v>
      </c>
      <c r="B9" s="18">
        <f>B8*(1+Assumptions!B12)/(Assumptions!B26-Assumptions!B12)</f>
        <v>1955191378.898523</v>
      </c>
    </row>
    <row r="10" spans="1:2" x14ac:dyDescent="0.25">
      <c r="A10" t="s">
        <v>61</v>
      </c>
      <c r="B10" s="18">
        <f>B9/(1+Assumptions!B26)^(5-0.5*Assumptions!B32)</f>
        <v>1490936335.6573672</v>
      </c>
    </row>
    <row r="11" spans="1:2" x14ac:dyDescent="0.25">
      <c r="A11" t="s">
        <v>62</v>
      </c>
      <c r="B11" s="18">
        <f>Forecast!B17+B10</f>
        <v>1970572606.0097144</v>
      </c>
    </row>
    <row r="12" spans="1:2" x14ac:dyDescent="0.25">
      <c r="A12" t="s">
        <v>63</v>
      </c>
      <c r="B12" s="18">
        <f>-Assumptions!B30</f>
        <v>-1427374000</v>
      </c>
    </row>
    <row r="13" spans="1:2" x14ac:dyDescent="0.25">
      <c r="A13" t="s">
        <v>64</v>
      </c>
      <c r="B13" s="18">
        <f>B11+B12</f>
        <v>543198606.0097144</v>
      </c>
    </row>
    <row r="14" spans="1:2" x14ac:dyDescent="0.25">
      <c r="A14" s="19" t="s">
        <v>65</v>
      </c>
      <c r="B14" s="24">
        <f>B13/Assumptions!B31</f>
        <v>0.6730026451967465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164501806.38870338</v>
      </c>
    </row>
    <row r="18" spans="1:2" x14ac:dyDescent="0.25">
      <c r="A18" t="s">
        <v>60</v>
      </c>
      <c r="B18" s="18">
        <f>B17*Assumptions!B13</f>
        <v>3290036127.7740674</v>
      </c>
    </row>
    <row r="19" spans="1:2" x14ac:dyDescent="0.25">
      <c r="A19" t="s">
        <v>61</v>
      </c>
      <c r="B19" s="18">
        <f>B18/(1+Assumptions!B26)^(5-0.5*Assumptions!B32)</f>
        <v>2508825714.6915383</v>
      </c>
    </row>
    <row r="20" spans="1:2" x14ac:dyDescent="0.25">
      <c r="A20" t="s">
        <v>62</v>
      </c>
      <c r="B20" s="18">
        <f>Forecast!B17+B19</f>
        <v>2988461985.043885</v>
      </c>
    </row>
    <row r="21" spans="1:2" x14ac:dyDescent="0.25">
      <c r="A21" t="s">
        <v>63</v>
      </c>
      <c r="B21" s="18">
        <f>-Assumptions!B30</f>
        <v>-1427374000</v>
      </c>
    </row>
    <row r="22" spans="1:2" x14ac:dyDescent="0.25">
      <c r="A22" t="s">
        <v>64</v>
      </c>
      <c r="B22" s="18">
        <f>B20+B21</f>
        <v>1561087985.0438852</v>
      </c>
    </row>
    <row r="23" spans="1:2" x14ac:dyDescent="0.25">
      <c r="A23" s="19" t="s">
        <v>65</v>
      </c>
      <c r="B23" s="25">
        <f>B22/Assumptions!B31</f>
        <v>1.9341293068425232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1.92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0.6730026451967465</v>
      </c>
    </row>
    <row r="29" spans="1:2" x14ac:dyDescent="0.25">
      <c r="A29" s="19" t="s">
        <v>73</v>
      </c>
      <c r="B29" s="12">
        <f>B28/B26-1</f>
        <v>-0.6494777889600278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0.042092</v>
      </c>
      <c r="B5" s="31">
        <v>1.7938489686186587</v>
      </c>
      <c r="C5" s="31">
        <v>1.808328498325361</v>
      </c>
      <c r="D5" s="31">
        <v>1.822808028032062</v>
      </c>
      <c r="E5" s="31">
        <v>1.837287557738763</v>
      </c>
      <c r="F5" s="31">
        <v>1.851767087445464</v>
      </c>
    </row>
    <row r="6" spans="1:6" x14ac:dyDescent="0.25">
      <c r="A6" s="30">
        <v>0.052092</v>
      </c>
      <c r="B6" s="31">
        <v>1.1150279238240515</v>
      </c>
      <c r="C6" s="31">
        <v>1.1262356763353865</v>
      </c>
      <c r="D6" s="31">
        <v>1.1374434288467203</v>
      </c>
      <c r="E6" s="31">
        <v>1.1486511813580553</v>
      </c>
      <c r="F6" s="31">
        <v>1.1598589338693897</v>
      </c>
    </row>
    <row r="7" spans="1:6" x14ac:dyDescent="0.25">
      <c r="A7" s="30">
        <v>0.062092</v>
      </c>
      <c r="B7" s="31">
        <v>0.6549926893173921</v>
      </c>
      <c r="C7" s="31">
        <v>0.6640035448818719</v>
      </c>
      <c r="D7" s="32">
        <v>0.6730144004463505</v>
      </c>
      <c r="E7" s="31">
        <v>0.6820252560108301</v>
      </c>
      <c r="F7" s="31">
        <v>0.6910361115753091</v>
      </c>
    </row>
    <row r="8" spans="1:6" x14ac:dyDescent="0.25">
      <c r="A8" s="30">
        <v>0.072092</v>
      </c>
      <c r="B8" s="31">
        <v>0.32269280031972736</v>
      </c>
      <c r="C8" s="31">
        <v>0.33013326352955863</v>
      </c>
      <c r="D8" s="31">
        <v>0.3375737267393893</v>
      </c>
      <c r="E8" s="31">
        <v>0.34501418994922056</v>
      </c>
      <c r="F8" s="31">
        <v>0.3524546531590513</v>
      </c>
    </row>
    <row r="9" spans="1:6" x14ac:dyDescent="0.25">
      <c r="A9" s="30">
        <v>0.082092</v>
      </c>
      <c r="B9" s="31">
        <v>0.07144316257136896</v>
      </c>
      <c r="C9" s="31">
        <v>0.07770990177922243</v>
      </c>
      <c r="D9" s="31">
        <v>0.08397664098707533</v>
      </c>
      <c r="E9" s="31">
        <v>0.09024338019492821</v>
      </c>
      <c r="F9" s="31">
        <v>0.0965101194027811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194275000</v>
      </c>
      <c r="C5" s="18">
        <v>177101000</v>
      </c>
      <c r="D5" s="18">
        <v>168788000</v>
      </c>
      <c r="E5" s="18">
        <v>171315000</v>
      </c>
      <c r="F5" s="8" t="s">
        <v>84</v>
      </c>
    </row>
    <row r="6" spans="1:6" x14ac:dyDescent="0.25">
      <c r="A6" t="s">
        <v>44</v>
      </c>
      <c r="B6" s="18">
        <v>143687000</v>
      </c>
      <c r="C6" s="18">
        <v>123171000</v>
      </c>
      <c r="D6" s="18">
        <v>115099000</v>
      </c>
      <c r="E6" s="18">
        <v>107840000</v>
      </c>
      <c r="F6" s="8" t="s">
        <v>85</v>
      </c>
    </row>
    <row r="7" spans="1:6" x14ac:dyDescent="0.25">
      <c r="A7" t="s">
        <v>86</v>
      </c>
      <c r="B7" s="18">
        <v>0</v>
      </c>
      <c r="C7" s="18">
        <v>0</v>
      </c>
      <c r="D7" s="18">
        <v>0</v>
      </c>
      <c r="E7" s="18">
        <v>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87</v>
      </c>
    </row>
    <row r="9" spans="1:6" x14ac:dyDescent="0.25">
      <c r="A9" t="s">
        <v>89</v>
      </c>
      <c r="B9" s="18">
        <v>-311000</v>
      </c>
      <c r="C9" s="18">
        <v>-4383000</v>
      </c>
      <c r="D9" s="18">
        <v>4098000</v>
      </c>
      <c r="E9" s="18">
        <v>0</v>
      </c>
      <c r="F9" s="8" t="s">
        <v>87</v>
      </c>
    </row>
    <row r="10" spans="1:6" x14ac:dyDescent="0.25">
      <c r="A10" t="s">
        <v>90</v>
      </c>
      <c r="B10" s="18">
        <v>1441183000</v>
      </c>
      <c r="C10" s="18">
        <v>1373527000</v>
      </c>
      <c r="D10" s="18">
        <v>1297582000</v>
      </c>
      <c r="E10" s="18">
        <v>1243058000</v>
      </c>
      <c r="F10" s="8" t="s">
        <v>91</v>
      </c>
    </row>
    <row r="11" spans="1:6" x14ac:dyDescent="0.25">
      <c r="A11" t="s">
        <v>92</v>
      </c>
      <c r="B11" s="18">
        <v>13809000</v>
      </c>
      <c r="C11" s="18">
        <v>15642000</v>
      </c>
      <c r="D11" s="18">
        <v>18934000</v>
      </c>
      <c r="E11" s="18">
        <v>10885000</v>
      </c>
      <c r="F11" s="8" t="s">
        <v>93</v>
      </c>
    </row>
    <row r="12" spans="1:6" x14ac:dyDescent="0.25">
      <c r="A12" t="s">
        <v>32</v>
      </c>
      <c r="B12" s="34">
        <v>807127000</v>
      </c>
      <c r="C12" s="34">
        <v>675899000</v>
      </c>
      <c r="D12" s="34">
        <v>668753000</v>
      </c>
      <c r="E12" s="34">
        <v>656236000</v>
      </c>
      <c r="F12" s="8" t="s">
        <v>94</v>
      </c>
    </row>
    <row r="15" spans="1:1" x14ac:dyDescent="0.25">
      <c r="A15" s="19" t="s">
        <v>95</v>
      </c>
    </row>
    <row r="16" ht="22" customHeight="1" spans="1:6" x14ac:dyDescent="0.25">
      <c r="A16" s="35" t="s">
        <v>96</v>
      </c>
      <c r="B16" s="35"/>
      <c r="C16" s="35"/>
      <c r="D16" s="35"/>
      <c r="E16" s="35"/>
      <c r="F16" s="35"/>
    </row>
    <row r="17" ht="86" customHeight="1" spans="1:6" x14ac:dyDescent="0.25">
      <c r="A17" s="35" t="s">
        <v>97</v>
      </c>
      <c r="B17" s="35"/>
      <c r="C17" s="35"/>
      <c r="D17" s="35"/>
      <c r="E17" s="35"/>
      <c r="F17" s="35"/>
    </row>
    <row r="18" ht="54" customHeight="1" spans="1:6" x14ac:dyDescent="0.25">
      <c r="A18" s="35" t="s">
        <v>98</v>
      </c>
      <c r="B18" s="35"/>
      <c r="C18" s="35"/>
      <c r="D18" s="35"/>
      <c r="E18" s="35"/>
      <c r="F18" s="35"/>
    </row>
    <row r="19" ht="22" customHeight="1" spans="1:6" x14ac:dyDescent="0.25">
      <c r="A19" s="35" t="s">
        <v>99</v>
      </c>
      <c r="B19" s="35"/>
      <c r="C19" s="35"/>
      <c r="D19" s="35"/>
      <c r="E19" s="35"/>
      <c r="F19" s="35"/>
    </row>
    <row r="20" ht="38" customHeight="1" spans="1:6" x14ac:dyDescent="0.25">
      <c r="A20" s="35" t="s">
        <v>100</v>
      </c>
      <c r="B20" s="35"/>
      <c r="C20" s="35"/>
      <c r="D20" s="35"/>
      <c r="E20" s="35"/>
      <c r="F20" s="35"/>
    </row>
    <row r="22" spans="1:1" x14ac:dyDescent="0.25">
      <c r="A22" s="36" t="s">
        <v>101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2026-09-19T00:08:43Z</dcterms:modified>
</cp:coreProperties>
</file>