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<sst xmlns="http://schemas.openxmlformats.org/spreadsheetml/2006/main" count="121" uniqueCount="108">
  <si>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VICI Properties Inc. (VICI)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</si>
  <si>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</si>
  <si>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</si>
  <si>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</si>
  <si>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</si>
  <si>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</si>
  <si>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</si>
  <si>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</si>
  <si>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</si>
  <si>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</si>
  <si>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</si>
  <si>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</si>
  <si>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</si>
  <si>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</si>
  <si>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</si>
  <si>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</si>
  <si>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</si>
  <si>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</si>
  <si>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</si>
  <si>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</si>
  <si>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</si>
  <si>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</si>
  <si>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</si>
  <si>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</si>
  <si>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4.3x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</si>
  <si>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</si>
  <si>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</si>
  <si>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</si>
  <si>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</si>
  <si>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</si>
  <si>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</si>
  <si>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</si>
  <si>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</si>
  <si>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</si>
  <si>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</si>
  <si>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</si>
  <si>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</si>
  <si>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</si>
  <si>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</si>
  <si>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</si>
  <si>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</si>
  <si>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</si>
  <si>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</si>
  <si>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</si>
  <si>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</si>
  <si>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</si>
  <si>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</si>
  <si>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</si>
  <si>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</si>
  <si>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</si>
  <si>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</si>
  <si>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</si>
  <si>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</si>
  <si>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</si>
  <si>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</si>
  <si>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</si>
  <si>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</si>
  <si>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</si>
  <si>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</si>
  <si>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</si>
  <si>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</si>
  <si>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</si>
  <si>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</si>
  <si>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</si>
  <si>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</si>
  <si>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</si>
  <si>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</si>
  <si>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</si>
  <si>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</si>
  <si>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</si>
  <si>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</si>
  <si>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</si>
  <si>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</si>
  <si>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</si>
  <si>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</si>
  <si>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</si>
  <si>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</si>
  <si>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</si>
  <si>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</si>
  <si>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</si>
  <si>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</si>
  <si>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</si>
  <si>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</si>
  <si>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</si>
  <si>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</si>
  <si>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</si>
  <si>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</si>
  <si>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</si>
  <si>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</si>
  <si>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</si>
  <si>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</si>
  <si>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</si>
  <si>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</si>
  <si>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</si>
  <si>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</si>
  <si>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</si>
  <si>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</si>
  <si>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</si>
  <si>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</si>
  <si>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</si>
  <si>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</si>
  <si>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</si>
  <si>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</si>
  <si>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</si>
  <si>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</si>
  <si>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0.10%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</si>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</sst>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0.050982318035723395</v>
      </c>
    </row>
    <row r="7" spans="1:2" x14ac:dyDescent="0.25">
      <c r="A7" t="s">
        <v>4</v>
      </c>
      <c r="B7" s="5">
        <v>0.8467800588031514</v>
      </c>
    </row>
    <row r="8" spans="1:2" x14ac:dyDescent="0.25">
      <c r="A8" t="s">
        <v>5</v>
      </c>
      <c r="B8" s="5">
        <v>0.0025247049755825215</v>
      </c>
    </row>
    <row r="9" spans="1:2" x14ac:dyDescent="0.25">
      <c r="A9" t="s">
        <v>6</v>
      </c>
      <c r="B9" s="5">
        <v>0.001098239082520027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0.013860501082279977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12.02926332176167</v>
      </c>
    </row>
    <row r="14" spans="1:3" x14ac:dyDescent="0.25">
      <c r="A14" t="s">
        <v>12</v>
      </c>
      <c r="B14" s="5">
        <v>0.08059669331716154</v>
      </c>
      <c r="C14" s="6" t="s">
        <v>13</v>
      </c>
    </row>
    <row r="15" spans="1:3" x14ac:dyDescent="0.25">
      <c r="A15" t="s">
        <v>14</v>
      </c>
      <c r="B15" s="5">
        <v>0.001098239082520027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0.7815799999999999</v>
      </c>
      <c r="C19" s="6" t="s">
        <v>21</v>
      </c>
    </row>
    <row r="20" spans="1:2" x14ac:dyDescent="0.25">
      <c r="A20" t="s">
        <v>22</v>
      </c>
      <c r="B20" s="9">
        <f>B17+B19*B18</f>
        <v>0.082000834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26932551680</v>
      </c>
    </row>
    <row r="23" spans="1:2" x14ac:dyDescent="0.25">
      <c r="A23" t="s">
        <v>26</v>
      </c>
      <c r="B23" s="10">
        <v>17689740000</v>
      </c>
    </row>
    <row r="24" spans="1:2" x14ac:dyDescent="0.25">
      <c r="A24" t="s">
        <v>27</v>
      </c>
      <c r="B24" s="9">
        <f>B22/(B22+B23)</f>
        <v>0.6035672007422098</v>
      </c>
    </row>
    <row r="25" spans="1:2" x14ac:dyDescent="0.25">
      <c r="A25" t="s">
        <v>28</v>
      </c>
      <c r="B25" s="9">
        <f>1-B24</f>
        <v>0.3964327992577902</v>
      </c>
    </row>
    <row r="26" spans="1:2" x14ac:dyDescent="0.25">
      <c r="A26" t="s">
        <v>29</v>
      </c>
      <c r="B26" s="11">
        <f>B24*B20+B25*B21*(1-B8)</f>
        <v>0.07192982116945354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4006116000</v>
      </c>
      <c r="C29" s="6" t="s">
        <v>32</v>
      </c>
    </row>
    <row r="30" spans="1:2" x14ac:dyDescent="0.25">
      <c r="A30" t="s">
        <v>33</v>
      </c>
      <c r="B30" s="10">
        <v>17081777000</v>
      </c>
    </row>
    <row r="31" spans="1:2" x14ac:dyDescent="0.25">
      <c r="A31" t="s">
        <v>34</v>
      </c>
      <c r="B31" s="12">
        <v>1062693062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0.050982318035723395</v>
      </c>
      <c r="C5" s="5">
        <v>0.033070788855751765</v>
      </c>
      <c r="D5" s="5">
        <v>0.0320619402487828</v>
      </c>
      <c r="E5" s="5">
        <v>0.031053091641813822</v>
      </c>
      <c r="F5" s="5">
        <v>0.030044243034844854</v>
      </c>
      <c r="G5" s="5">
        <v>0.029035394427875883</v>
      </c>
      <c r="H5" s="5">
        <v>0.028026545820906912</v>
      </c>
      <c r="I5" s="5">
        <v>0.027017697213937944</v>
      </c>
      <c r="J5" s="5">
        <v>0.026008848606968973</v>
      </c>
      <c r="K5" s="5">
        <v>0.025</v>
      </c>
    </row>
    <row r="6" spans="1:11" x14ac:dyDescent="0.25">
      <c r="A6" t="s">
        <v>50</v>
      </c>
      <c r="B6" s="18">
        <f>Assumptions!B29*(1+B5)</f>
        <v>4210357080</v>
      </c>
      <c r="C6" s="18">
        <f>B6*(1+C5)</f>
        <v>4349596910</v>
      </c>
      <c r="D6" s="18">
        <f>C6*(1+D5)</f>
        <v>4489053426.23471</v>
      </c>
      <c r="E6" s="18">
        <f>D6*(1+E5)</f>
        <v>4628452413.664575</v>
      </c>
      <c r="F6" s="18">
        <f>E6*(1+F5)</f>
        <v>4767510762.855927</v>
      </c>
      <c r="G6" s="18">
        <f>F6*(1+G5)</f>
        <v>4905937318.294593</v>
      </c>
      <c r="H6" s="18">
        <f>G6*(1+H5)</f>
        <v>5043433795.340273</v>
      </c>
      <c r="I6" s="18">
        <f>H6*(1+I5)</f>
        <v>5179695762.541319</v>
      </c>
      <c r="J6" s="18">
        <f>I6*(1+J5)</f>
        <v>5314413685.4594145</v>
      </c>
      <c r="K6" s="18">
        <f>J6*(1+K5)</f>
        <v>5447274027.5959</v>
      </c>
    </row>
    <row r="7" spans="1:11" x14ac:dyDescent="0.25">
      <c r="A7" t="s">
        <v>4</v>
      </c>
      <c r="B7" s="9">
        <f>Assumptions!B7</f>
        <v>0.8467800588031514</v>
      </c>
      <c r="C7" s="9">
        <f>Assumptions!B7</f>
        <v>0.8467800588031514</v>
      </c>
      <c r="D7" s="9">
        <f>Assumptions!B7</f>
        <v>0.8467800588031514</v>
      </c>
      <c r="E7" s="9">
        <f>Assumptions!B7</f>
        <v>0.8467800588031514</v>
      </c>
      <c r="F7" s="9">
        <f>Assumptions!B7</f>
        <v>0.8467800588031514</v>
      </c>
      <c r="G7" s="9">
        <f>Assumptions!B7</f>
        <v>0.8467800588031514</v>
      </c>
      <c r="H7" s="9">
        <f>Assumptions!B7</f>
        <v>0.8467800588031514</v>
      </c>
      <c r="I7" s="9">
        <f>Assumptions!B7</f>
        <v>0.8467800588031514</v>
      </c>
      <c r="J7" s="9">
        <f>Assumptions!B7</f>
        <v>0.8467800588031514</v>
      </c>
      <c r="K7" s="9">
        <f>Assumptions!B7</f>
        <v>0.8467800588031514</v>
      </c>
    </row>
    <row r="8" spans="1:11" x14ac:dyDescent="0.25">
      <c r="A8" t="s">
        <v>51</v>
      </c>
      <c r="B8" s="18">
        <f>B6*B7</f>
        <v>3565246415.784665</v>
      </c>
      <c r="C8" s="18">
        <f>C6*C7</f>
        <v>3683151927.2198057</v>
      </c>
      <c r="D8" s="18">
        <f>D6*D7</f>
        <v>3801240924.237516</v>
      </c>
      <c r="E8" s="18">
        <f>E6*E7</f>
        <v>3919281207.0104766</v>
      </c>
      <c r="F8" s="18">
        <f>F6*F7</f>
        <v>4037033044.1157994</v>
      </c>
      <c r="G8" s="18">
        <f>G6*G7</f>
        <v>4154249890.8700705</v>
      </c>
      <c r="H8" s="18">
        <f>H6*H7</f>
        <v>4270679165.7880373</v>
      </c>
      <c r="I8" s="18">
        <f>I6*I7</f>
        <v>4386063082.387173</v>
      </c>
      <c r="J8" s="18">
        <f>J6*J7</f>
        <v>4500139533.077596</v>
      </c>
      <c r="K8" s="18">
        <f>K6*K7</f>
        <v>4612643021.404535</v>
      </c>
    </row>
    <row r="9" spans="1:11" x14ac:dyDescent="0.25">
      <c r="A9" t="s">
        <v>52</v>
      </c>
      <c r="B9" s="18">
        <f>B8*(1-Assumptions!B8)</f>
        <v>3556245220.4195557</v>
      </c>
      <c r="C9" s="18">
        <f>C8*(1-Assumptions!B8)</f>
        <v>3673853055.2233276</v>
      </c>
      <c r="D9" s="18">
        <f>D8*(1-Assumptions!B8)</f>
        <v>3791643912.362705</v>
      </c>
      <c r="E9" s="18">
        <f>E8*(1-Assumptions!B8)</f>
        <v>3909386178.24643</v>
      </c>
      <c r="F9" s="18">
        <f>F8*(1-Assumptions!B8)</f>
        <v>4026840726.702729</v>
      </c>
      <c r="G9" s="18">
        <f>G8*(1-Assumptions!B8)</f>
        <v>4143761635.5007777</v>
      </c>
      <c r="H9" s="18">
        <f>H8*(1-Assumptions!B8)</f>
        <v>4259896960.8490553</v>
      </c>
      <c r="I9" s="18">
        <f>I8*(1-Assumptions!B8)</f>
        <v>4374989567.099851</v>
      </c>
      <c r="J9" s="18">
        <f>J8*(1-Assumptions!B8)</f>
        <v>4488778008.4076185</v>
      </c>
      <c r="K9" s="18">
        <f>K8*(1-Assumptions!B8)</f>
        <v>4600997458.617809</v>
      </c>
    </row>
    <row r="10" spans="1:11" x14ac:dyDescent="0.25">
      <c r="A10" t="s">
        <v>53</v>
      </c>
      <c r="B10" s="18">
        <f>B6*Assumptions!B9</f>
        <v>4623978.6966209</v>
      </c>
      <c r="C10" s="18">
        <f>C6*Assumptions!B9</f>
        <v>4776897.3197703445</v>
      </c>
      <c r="D10" s="18">
        <f>D6*Assumptions!B9</f>
        <v>4930053.916211392</v>
      </c>
      <c r="E10" s="18">
        <f>E6*Assumptions!B9</f>
        <v>5083147.332270587</v>
      </c>
      <c r="F10" s="18">
        <f>F6*Assumptions!B9</f>
        <v>5235866.646103248</v>
      </c>
      <c r="G10" s="18">
        <f>G6*Assumptions!B9</f>
        <v>5387892.099344616</v>
      </c>
      <c r="H10" s="18">
        <f>H6*Assumptions!B9</f>
        <v>5538896.104144999</v>
      </c>
      <c r="I10" s="18">
        <f>I6*Assumptions!B9</f>
        <v>5688544.32198625</v>
      </c>
      <c r="J10" s="18">
        <f>J6*Assumptions!B9</f>
        <v>5836496.810050823</v>
      </c>
      <c r="K10" s="18">
        <f>K6*Assumptions!B9</f>
        <v>5982409.230302094</v>
      </c>
    </row>
    <row r="11" spans="1:11" x14ac:dyDescent="0.25">
      <c r="A11" t="s">
        <v>54</v>
      </c>
      <c r="B11" s="18">
        <f>-B6*B19</f>
        <v>-42103570.800000004</v>
      </c>
      <c r="C11" s="18">
        <f>-C6*C19</f>
        <v>-165813776.40980878</v>
      </c>
      <c r="D11" s="18">
        <f>-D6*D19</f>
        <v>-297369641.340623</v>
      </c>
      <c r="E11" s="18">
        <f>-E6*E19</f>
        <v>-436763570.0286772</v>
      </c>
      <c r="F11" s="18">
        <f>-F6*F19</f>
        <v>-583956031.9576607</v>
      </c>
      <c r="G11" s="18">
        <f>-G6*G19</f>
        <v>-738874438.7968744</v>
      </c>
      <c r="H11" s="18">
        <f>-H6*H19</f>
        <v>-901412176.9433736</v>
      </c>
      <c r="I11" s="18">
        <f>-I6*I19</f>
        <v>-1071427808.301582</v>
      </c>
      <c r="J11" s="18">
        <f>-J6*J19</f>
        <v>-1248744451.2619085</v>
      </c>
      <c r="K11" s="18">
        <f>-K6*K19</f>
        <v>-1433149352.8268933</v>
      </c>
    </row>
    <row r="12" spans="1:11" x14ac:dyDescent="0.25">
      <c r="A12" t="s">
        <v>55</v>
      </c>
      <c r="B12" s="18">
        <f>-(B6-Assumptions!B29)*Assumptions!B11</f>
        <v>-2830883.7103860313</v>
      </c>
      <c r="C12" s="18">
        <f>-(C6-B6)*Assumptions!B11</f>
        <v>-1929933.81441148</v>
      </c>
      <c r="D12" s="18">
        <f>-(D6-C6)*Assumptions!B11</f>
        <v>-1932937.1942021896</v>
      </c>
      <c r="E12" s="18">
        <f>-(E6-D6)*Assumptions!B11</f>
        <v>-1932139.816140375</v>
      </c>
      <c r="F12" s="18">
        <f>-(F6-E6)*Assumptions!B11</f>
        <v>-1927418.399466813</v>
      </c>
      <c r="G12" s="18">
        <f>-(G6-F6)*Assumptions!B11</f>
        <v>-1918661.4214739108</v>
      </c>
      <c r="H12" s="18">
        <f>-(H6-G6)*Assumptions!B11</f>
        <v>-1905770.0689013323</v>
      </c>
      <c r="I12" s="18">
        <f>-(I6-H6)*Assumptions!B11</f>
        <v>-1888659.1438636966</v>
      </c>
      <c r="J12" s="18">
        <f>-(J6-I6)*Assumptions!B11</f>
        <v>-1867257.9164087744</v>
      </c>
      <c r="K12" s="18">
        <f>-(K6-J6)*Assumptions!B11</f>
        <v>-1841510.9159748398</v>
      </c>
    </row>
    <row r="13" spans="1:11" x14ac:dyDescent="0.25">
      <c r="A13" s="19" t="s">
        <v>56</v>
      </c>
      <c r="B13" s="20">
        <f>B9+B10+B11+B12</f>
        <v>3515934744.6057906</v>
      </c>
      <c r="C13" s="20">
        <f>C9+C10+C11+C12</f>
        <v>3510886242.3188777</v>
      </c>
      <c r="D13" s="20">
        <f>D9+D10+D11+D12</f>
        <v>3497271387.7440915</v>
      </c>
      <c r="E13" s="20">
        <f>E9+E10+E11+E12</f>
        <v>3475773615.733883</v>
      </c>
      <c r="F13" s="20">
        <f>F9+F10+F11+F12</f>
        <v>3446193142.991705</v>
      </c>
      <c r="G13" s="20">
        <f>G9+G10+G11+G12</f>
        <v>3408356427.381774</v>
      </c>
      <c r="H13" s="20">
        <f>H9+H10+H11+H12</f>
        <v>3362117909.940925</v>
      </c>
      <c r="I13" s="20">
        <f>I9+I10+I11+I12</f>
        <v>3307361643.9763913</v>
      </c>
      <c r="J13" s="20">
        <f>J9+J10+J11+J12</f>
        <v>3244002796.0393524</v>
      </c>
      <c r="K13" s="20">
        <f>K9+K10+K11+K12</f>
        <v>3171989004.105243</v>
      </c>
    </row>
    <row r="14" spans="1:11" x14ac:dyDescent="0.25">
      <c r="A14" t="s">
        <v>57</v>
      </c>
      <c r="B14" s="21">
        <f>1/(1+Assumptions!$B$26)^(1-0.5*Assumptions!$B$32)</f>
        <v>0.9658658774880193</v>
      </c>
      <c r="C14" s="21">
        <f>1/(1+Assumptions!$B$26)^(2-0.5*Assumptions!$B$32)</f>
        <v>0.9010532764488999</v>
      </c>
      <c r="D14" s="21">
        <f>1/(1+Assumptions!$B$26)^(3-0.5*Assumptions!$B$32)</f>
        <v>0.8405898022930915</v>
      </c>
      <c r="E14" s="21">
        <f>1/(1+Assumptions!$B$26)^(4-0.5*Assumptions!$B$32)</f>
        <v>0.784183615095273</v>
      </c>
      <c r="F14" s="21">
        <f>1/(1+Assumptions!$B$26)^(5-0.5*Assumptions!$B$32)</f>
        <v>0.7315624582957724</v>
      </c>
      <c r="G14" s="21">
        <f>1/(1+Assumptions!$B$26)^(6-0.5*Assumptions!$B$32)</f>
        <v>0.6824723445958922</v>
      </c>
      <c r="H14" s="21">
        <f>1/(1+Assumptions!$B$26)^(7-0.5*Assumptions!$B$32)</f>
        <v>0.6366763300337412</v>
      </c>
      <c r="I14" s="21">
        <f>1/(1+Assumptions!$B$26)^(8-0.5*Assumptions!$B$32)</f>
        <v>0.5939533703233859</v>
      </c>
      <c r="J14" s="21">
        <f>1/(1+Assumptions!$B$26)^(9-0.5*Assumptions!$B$32)</f>
        <v>0.554097253937198</v>
      </c>
      <c r="K14" s="21">
        <f>1/(1+Assumptions!$B$26)^(10-0.5*Assumptions!$B$32)</f>
        <v>0.5169156067816915</v>
      </c>
    </row>
    <row r="15" spans="1:11" x14ac:dyDescent="0.25">
      <c r="A15" s="19" t="s">
        <v>58</v>
      </c>
      <c r="B15" s="20">
        <f>B13*B14</f>
        <v>3395921397.289287</v>
      </c>
      <c r="C15" s="20">
        <f>C13*C14</f>
        <v>3163495551.880791</v>
      </c>
      <c r="D15" s="20">
        <f>D13*D14</f>
        <v>2939770664.389092</v>
      </c>
      <c r="E15" s="20">
        <f>E13*E14</f>
        <v>2725644719.2389646</v>
      </c>
      <c r="F15" s="20">
        <f>F13*F14</f>
        <v>2521105527.4490457</v>
      </c>
      <c r="G15" s="20">
        <f>G13*G14</f>
        <v>2326109002.213718</v>
      </c>
      <c r="H15" s="20">
        <f>H13*H14</f>
        <v>2140580892.0419009</v>
      </c>
      <c r="I15" s="20">
        <f>I13*I14</f>
        <v>1964418595.318072</v>
      </c>
      <c r="J15" s="20">
        <f>J13*J14</f>
        <v>1797493041.0499973</v>
      </c>
      <c r="K15" s="20">
        <f>K13*K14</f>
        <v>1639650620.761915</v>
      </c>
    </row>
    <row r="17" spans="1:2" x14ac:dyDescent="0.25">
      <c r="A17" s="22" t="s">
        <v>59</v>
      </c>
      <c r="B17" s="23">
        <f>SUM(B15:K15)</f>
        <v>24614190011.632786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0.038121642037355775</v>
      </c>
      <c r="D19" s="9">
        <f>Assumptions!$B$10+($B$20-Assumptions!$B$10)*2/9</f>
        <v>0.06624328407471154</v>
      </c>
      <c r="E19" s="9">
        <f>Assumptions!$B$10+($B$20-Assumptions!$B$10)*3/9</f>
        <v>0.09436492611206732</v>
      </c>
      <c r="F19" s="9">
        <f>Assumptions!$B$10+($B$20-Assumptions!$B$10)*4/9</f>
        <v>0.12248656814942309</v>
      </c>
      <c r="G19" s="9">
        <f>Assumptions!$B$10+($B$20-Assumptions!$B$10)*5/9</f>
        <v>0.1506082101867789</v>
      </c>
      <c r="H19" s="9">
        <f>Assumptions!$B$10+($B$20-Assumptions!$B$10)*6/9</f>
        <v>0.17872985222413465</v>
      </c>
      <c r="I19" s="9">
        <f>Assumptions!$B$10+($B$20-Assumptions!$B$10)*7/9</f>
        <v>0.20685149426149044</v>
      </c>
      <c r="J19" s="9">
        <f>Assumptions!$B$10+($B$20-Assumptions!$B$10)*8/9</f>
        <v>0.2349731362988462</v>
      </c>
      <c r="K19" s="9">
        <f>Assumptions!$B$10+($B$20-Assumptions!$B$10)*9/9</f>
        <v>0.263094778336202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0.263094778336202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3171989004.105243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4600997458.617809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0.31018642292954623</v>
      </c>
    </row>
    <row r="7" spans="1:2" x14ac:dyDescent="0.25">
      <c r="A7" t="s">
        <v>66</v>
      </c>
      <c r="B7" s="18">
        <f>-MAX(B5,0)*B6</f>
        <v>-1427166943.5965912</v>
      </c>
    </row>
    <row r="8" spans="1:2" x14ac:dyDescent="0.25">
      <c r="A8" t="s">
        <v>67</v>
      </c>
      <c r="B8" s="18">
        <f>IF(OR(Assumptions!$B$33=0,Assumptions!B12&lt;=0),B5,MAX(B5+B7,0))</f>
        <v>3173830515.0212183</v>
      </c>
    </row>
    <row r="9" spans="1:2" x14ac:dyDescent="0.25">
      <c r="A9" t="s">
        <v>68</v>
      </c>
      <c r="B9" s="18">
        <f>B8*(1+Assumptions!B12)/(Assumptions!B26-Assumptions!B12)</f>
        <v>69320022894.4028</v>
      </c>
    </row>
    <row r="10" spans="1:2" x14ac:dyDescent="0.25">
      <c r="A10" t="s">
        <v>69</v>
      </c>
      <c r="B10" s="18">
        <f>B9/(1+Assumptions!B26)^(10-0.5*Assumptions!B32)</f>
        <v>35832601696.58097</v>
      </c>
    </row>
    <row r="11" spans="1:2" x14ac:dyDescent="0.25">
      <c r="A11" t="s">
        <v>70</v>
      </c>
      <c r="B11" s="18">
        <f>Forecast!B17+B10</f>
        <v>60446791708.21376</v>
      </c>
    </row>
    <row r="12" spans="1:2" x14ac:dyDescent="0.25">
      <c r="A12" t="s">
        <v>71</v>
      </c>
      <c r="B12" s="18">
        <f>-Assumptions!B30</f>
        <v>-17081777000</v>
      </c>
    </row>
    <row r="13" spans="1:2" x14ac:dyDescent="0.25">
      <c r="A13" t="s">
        <v>72</v>
      </c>
      <c r="B13" s="18">
        <f>B11+B12</f>
        <v>43365014708.21376</v>
      </c>
    </row>
    <row r="14" spans="1:2" x14ac:dyDescent="0.25">
      <c r="A14" s="19" t="s">
        <v>73</v>
      </c>
      <c r="B14" s="24">
        <f>B13/Assumptions!B31</f>
        <v>40.80671668882483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4618625430.634837</v>
      </c>
    </row>
    <row r="18" spans="1:2" x14ac:dyDescent="0.25">
      <c r="A18" t="s">
        <v>68</v>
      </c>
      <c r="B18" s="18">
        <f>B17*Assumptions!B13</f>
        <v>55558661489.691345</v>
      </c>
    </row>
    <row r="19" spans="1:2" x14ac:dyDescent="0.25">
      <c r="A19" t="s">
        <v>69</v>
      </c>
      <c r="B19" s="18">
        <f>B18/(1+Assumptions!B26)^(10-0.5*Assumptions!B32)</f>
        <v>28719139215.922398</v>
      </c>
    </row>
    <row r="20" spans="1:2" x14ac:dyDescent="0.25">
      <c r="A20" t="s">
        <v>70</v>
      </c>
      <c r="B20" s="18">
        <f>Forecast!B17+B19</f>
        <v>53333329227.55518</v>
      </c>
    </row>
    <row r="21" spans="1:2" x14ac:dyDescent="0.25">
      <c r="A21" t="s">
        <v>71</v>
      </c>
      <c r="B21" s="18">
        <f>-Assumptions!B30</f>
        <v>-17081777000</v>
      </c>
    </row>
    <row r="22" spans="1:2" x14ac:dyDescent="0.25">
      <c r="A22" t="s">
        <v>72</v>
      </c>
      <c r="B22" s="18">
        <f>B20+B21</f>
        <v>36251552227.55518</v>
      </c>
    </row>
    <row r="23" spans="1:2" x14ac:dyDescent="0.25">
      <c r="A23" s="19" t="s">
        <v>73</v>
      </c>
      <c r="B23" s="25">
        <f>B22/Assumptions!B31</f>
        <v>34.11290947861216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24.46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40.80671668882483</v>
      </c>
    </row>
    <row r="29" spans="1:2" x14ac:dyDescent="0.25">
      <c r="A29" s="19" t="s">
        <v>81</v>
      </c>
      <c r="B29" s="11">
        <f>B28/B26-1</f>
        <v>0.6683040347025686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0.05193</v>
      </c>
      <c r="B5" s="31">
        <v>70.74429503458586</v>
      </c>
      <c r="C5" s="31">
        <v>74.26984373957534</v>
      </c>
      <c r="D5" s="31">
        <v>79.37217498026135</v>
      </c>
      <c r="E5" s="31">
        <v>87.12979938297532</v>
      </c>
      <c r="F5" s="31">
        <v>99.89530982606462</v>
      </c>
    </row>
    <row r="6" spans="1:6" x14ac:dyDescent="0.25">
      <c r="A6" s="30">
        <v>0.06193</v>
      </c>
      <c r="B6" s="31">
        <v>52.7879936631198</v>
      </c>
      <c r="C6" s="31">
        <v>53.63630346803765</v>
      </c>
      <c r="D6" s="31">
        <v>54.89860773487453</v>
      </c>
      <c r="E6" s="31">
        <v>56.769391804337815</v>
      </c>
      <c r="F6" s="31">
        <v>59.58757870054167</v>
      </c>
    </row>
    <row r="7" spans="1:6" x14ac:dyDescent="0.25">
      <c r="A7" s="30">
        <v>0.07193</v>
      </c>
      <c r="B7" s="31">
        <v>41.12742451852508</v>
      </c>
      <c r="C7" s="31">
        <v>40.92048807887216</v>
      </c>
      <c r="D7" s="32">
        <v>40.80651796743182</v>
      </c>
      <c r="E7" s="31">
        <v>40.81877187376265</v>
      </c>
      <c r="F7" s="31">
        <v>41.00851869216647</v>
      </c>
    </row>
    <row r="8" spans="1:6" x14ac:dyDescent="0.25">
      <c r="A8" s="30">
        <v>0.08193</v>
      </c>
      <c r="B8" s="31">
        <v>33.07145382011867</v>
      </c>
      <c r="C8" s="31">
        <v>32.4728912582664</v>
      </c>
      <c r="D8" s="31">
        <v>31.874328696414143</v>
      </c>
      <c r="E8" s="31">
        <v>31.275766134561884</v>
      </c>
      <c r="F8" s="31">
        <v>30.677203572709615</v>
      </c>
    </row>
    <row r="9" spans="1:6" x14ac:dyDescent="0.25">
      <c r="A9" s="30">
        <v>0.09193</v>
      </c>
      <c r="B9" s="31">
        <v>27.70016801081609</v>
      </c>
      <c r="C9" s="31">
        <v>27.19511262584441</v>
      </c>
      <c r="D9" s="31">
        <v>26.69005724087272</v>
      </c>
      <c r="E9" s="31">
        <v>26.185001855901035</v>
      </c>
      <c r="F9" s="31">
        <v>25.67994647092934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4006116000</v>
      </c>
      <c r="C5" s="18">
        <v>3849205000</v>
      </c>
      <c r="D5" s="18">
        <v>3611988000</v>
      </c>
      <c r="E5" s="18">
        <v>2600697000</v>
      </c>
      <c r="F5" s="6" t="s">
        <v>91</v>
      </c>
    </row>
    <row r="6" spans="1:6" x14ac:dyDescent="0.25">
      <c r="A6" t="s">
        <v>51</v>
      </c>
      <c r="B6" s="18">
        <v>3655301000</v>
      </c>
      <c r="C6" s="18">
        <v>3544934000</v>
      </c>
      <c r="D6" s="18">
        <v>3344848000</v>
      </c>
      <c r="E6" s="18">
        <v>1632450000</v>
      </c>
      <c r="F6" s="6" t="s">
        <v>92</v>
      </c>
    </row>
    <row r="7" spans="1:6" x14ac:dyDescent="0.25">
      <c r="A7" t="s">
        <v>93</v>
      </c>
      <c r="B7" s="18">
        <v>3637000</v>
      </c>
      <c r="C7" s="18">
        <v>4125000</v>
      </c>
      <c r="D7" s="18">
        <v>4298000</v>
      </c>
      <c r="E7" s="18">
        <v>3182000</v>
      </c>
      <c r="F7" s="6" t="s">
        <v>94</v>
      </c>
    </row>
    <row r="8" spans="1:6" x14ac:dyDescent="0.25">
      <c r="A8" t="s">
        <v>95</v>
      </c>
      <c r="B8" s="18">
        <v>1335000</v>
      </c>
      <c r="C8" s="18">
        <v>7526000</v>
      </c>
      <c r="D8" s="18">
        <v>4035000</v>
      </c>
      <c r="E8" s="18">
        <v>1876000</v>
      </c>
      <c r="F8" s="6" t="s">
        <v>96</v>
      </c>
    </row>
    <row r="9" spans="1:6" x14ac:dyDescent="0.25">
      <c r="A9" t="s">
        <v>97</v>
      </c>
      <c r="B9" s="18">
        <v>-10998000</v>
      </c>
      <c r="C9" s="18">
        <v>11520000</v>
      </c>
      <c r="D9" s="18">
        <v>14017000</v>
      </c>
      <c r="E9" s="18">
        <v>-46446000</v>
      </c>
      <c r="F9" s="6" t="s">
        <v>98</v>
      </c>
    </row>
    <row r="10" spans="1:6" x14ac:dyDescent="0.25">
      <c r="A10" t="s">
        <v>99</v>
      </c>
      <c r="B10" s="18">
        <v>17689740000</v>
      </c>
      <c r="C10" s="18">
        <v>17650085000</v>
      </c>
      <c r="D10" s="18">
        <v>17628522000</v>
      </c>
      <c r="E10" s="18">
        <v>14568973000</v>
      </c>
      <c r="F10" s="6" t="s">
        <v>100</v>
      </c>
    </row>
    <row r="11" spans="1:6" x14ac:dyDescent="0.25">
      <c r="A11" t="s">
        <v>101</v>
      </c>
      <c r="B11" s="18">
        <v>607963000</v>
      </c>
      <c r="C11" s="18">
        <v>524615000</v>
      </c>
      <c r="D11" s="18">
        <v>522574000</v>
      </c>
      <c r="E11" s="18">
        <v>426275000</v>
      </c>
      <c r="F11" s="6" t="s">
        <v>102</v>
      </c>
    </row>
    <row r="12" spans="1:6" x14ac:dyDescent="0.25">
      <c r="A12" t="s">
        <v>34</v>
      </c>
      <c r="B12" s="34">
        <v>1062693062</v>
      </c>
      <c r="C12" s="34">
        <v>1047675111</v>
      </c>
      <c r="D12" s="34">
        <v>1015776697</v>
      </c>
      <c r="E12" s="34">
        <v>879675845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