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<sst xmlns="http://schemas.openxmlformats.org/spreadsheetml/2006/main" count="113" uniqueCount="101">
  <si>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Veolia Environnement SA (VIE.PA)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</si>
  <si>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</si>
  <si>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</si>
  <si>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</si>
  <si>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</si>
  <si>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</si>
  <si>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</si>
  <si>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</si>
  <si>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</si>
  <si>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</si>
  <si>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</si>
  <si>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</si>
  <si>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</si>
  <si>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</si>
  <si>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</si>
  <si>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</si>
  <si>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</si>
  <si>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</si>
  <si>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</si>
  <si>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</si>
  <si>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</si>
  <si>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</si>
  <si>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</si>
  <si>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</si>
  <si>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</si>
  <si>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</si>
  <si>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</si>
  <si>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</si>
  <si>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</si>
  <si>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</si>
  <si>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</si>
  <si>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</si>
  <si>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</si>
  <si>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</si>
  <si>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</si>
  <si>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</si>
  <si>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</si>
  <si>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</si>
  <si>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</si>
  <si>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</si>
  <si>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</si>
  <si>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</si>
  <si>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</si>
  <si>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</si>
  <si>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</si>
  <si>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</si>
  <si>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</si>
  <si>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</si>
  <si>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</si>
  <si>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</si>
  <si>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</si>
  <si>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</si>
  <si>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</si>
  <si>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</si>
  <si>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</si>
  <si>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</si>
  <si>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</si>
  <si>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</si>
  <si>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</si>
  <si>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</si>
  <si>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</si>
  <si>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</si>
  <si>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</si>
  <si>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</si>
  <si>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</si>
  <si>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</si>
  <si>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</si>
  <si>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</si>
  <si>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</si>
  <si>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</si>
  <si>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</si>
  <si>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</si>
  <si>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</si>
  <si>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</si>
  <si>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</si>
  <si>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</si>
  <si>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</si>
  <si>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</si>
  <si>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</si>
  <si>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</si>
  <si>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</si>
  <si>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</si>
  <si>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</si>
  <si>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</si>
  <si>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</si>
  <si>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</si>
  <si>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</si>
  <si>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</si>
  <si>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</si>
  <si>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derived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</si>
  <si>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</si>
  <si>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</si>
  <si>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</si>
  <si>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</si>
  <si>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</si>
  <si>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</si>
  <si>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</si>
  <si>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</si>
  <si>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0.00% of revenue, which is too low to be the company's real investment - property trusts and similar structures invest through lines that are not reported as capex. Capex has been set to 5.76% of revenue so the forecast is not handed free growth. Override it if the reported figure is right.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</si>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</sst>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0.011601428212173026</v>
      </c>
    </row>
    <row r="7" spans="1:2" x14ac:dyDescent="0.25">
      <c r="A7" t="s">
        <v>5</v>
      </c>
      <c r="B7" s="6">
        <v>0.07206648058107537</v>
      </c>
    </row>
    <row r="8" spans="1:2" x14ac:dyDescent="0.25">
      <c r="A8" t="s">
        <v>6</v>
      </c>
      <c r="B8" s="6">
        <v>0.258</v>
      </c>
    </row>
    <row r="9" spans="1:2" x14ac:dyDescent="0.25">
      <c r="A9" t="s">
        <v>7</v>
      </c>
      <c r="B9" s="6">
        <v>0.06950744975786231</v>
      </c>
    </row>
    <row r="10" spans="1:2" x14ac:dyDescent="0.25">
      <c r="A10" t="s">
        <v>8</v>
      </c>
      <c r="B10" s="6">
        <v>0.05758920808062584</v>
      </c>
    </row>
    <row r="11" spans="1:2" x14ac:dyDescent="0.25">
      <c r="A11" t="s">
        <v>9</v>
      </c>
      <c r="B11" s="6">
        <v>-0.2959028831562974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5.1989923261332525</v>
      </c>
    </row>
    <row r="14" spans="1:3" x14ac:dyDescent="0.25">
      <c r="A14" t="s">
        <v>12</v>
      </c>
      <c r="B14" s="6">
        <v>0.07654803647673572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0.9933</v>
      </c>
      <c r="C19" s="8" t="s">
        <v>19</v>
      </c>
    </row>
    <row r="20" spans="1:2" x14ac:dyDescent="0.25">
      <c r="A20" t="s">
        <v>20</v>
      </c>
      <c r="B20" s="10">
        <f>B17+B19*B18</f>
        <v>0.091598</v>
      </c>
    </row>
    <row r="21" spans="1:3" x14ac:dyDescent="0.25">
      <c r="A21" t="s">
        <v>21</v>
      </c>
      <c r="B21" s="6">
        <v>0.04363093014568547</v>
      </c>
      <c r="C21" s="8" t="s">
        <v>22</v>
      </c>
    </row>
    <row r="22" spans="1:2" x14ac:dyDescent="0.25">
      <c r="A22" t="s">
        <v>23</v>
      </c>
      <c r="B22" s="11">
        <v>23553175552</v>
      </c>
    </row>
    <row r="23" spans="1:2" x14ac:dyDescent="0.25">
      <c r="A23" t="s">
        <v>24</v>
      </c>
      <c r="B23" s="11">
        <v>20190000000</v>
      </c>
    </row>
    <row r="24" spans="1:2" x14ac:dyDescent="0.25">
      <c r="A24" t="s">
        <v>25</v>
      </c>
      <c r="B24" s="10">
        <f>B22/(B22+B23)</f>
        <v>0.5384422885348368</v>
      </c>
    </row>
    <row r="25" spans="1:2" x14ac:dyDescent="0.25">
      <c r="A25" t="s">
        <v>26</v>
      </c>
      <c r="B25" s="10">
        <f>1-B24</f>
        <v>0.4615577114651632</v>
      </c>
    </row>
    <row r="26" spans="1:2" x14ac:dyDescent="0.25">
      <c r="A26" t="s">
        <v>27</v>
      </c>
      <c r="B26" s="12">
        <f>B24*B20+B25*B21*(1-B8)</f>
        <v>0.06426277540743111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44396000000</v>
      </c>
      <c r="C29" s="8" t="s">
        <v>30</v>
      </c>
    </row>
    <row r="30" spans="1:2" x14ac:dyDescent="0.25">
      <c r="A30" t="s">
        <v>31</v>
      </c>
      <c r="B30" s="11">
        <v>10625000000</v>
      </c>
    </row>
    <row r="31" spans="1:2" x14ac:dyDescent="0.25">
      <c r="A31" t="s">
        <v>32</v>
      </c>
      <c r="B31" s="13">
        <v>732000000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0.011601428212173026</v>
      </c>
      <c r="C5" s="10">
        <f>Assumptions!B6</f>
        <v>0.011601428212173026</v>
      </c>
      <c r="D5" s="10">
        <f>Assumptions!B6</f>
        <v>0.011601428212173026</v>
      </c>
      <c r="E5" s="10">
        <f>Assumptions!B6</f>
        <v>0.011601428212173026</v>
      </c>
      <c r="F5" s="10">
        <f>Assumptions!B6</f>
        <v>0.011601428212173026</v>
      </c>
    </row>
    <row r="6" spans="1:6" x14ac:dyDescent="0.25">
      <c r="A6" t="s">
        <v>43</v>
      </c>
      <c r="B6" s="18">
        <f>Assumptions!B29*(1+B5)</f>
        <v>44911057006.90763</v>
      </c>
      <c r="C6" s="18">
        <f>B6*(1+C5)</f>
        <v>45432089410.70608</v>
      </c>
      <c r="D6" s="18">
        <f>C6*(1+D5)</f>
        <v>45959166534.53341</v>
      </c>
      <c r="E6" s="18">
        <f>D6*(1+E5)</f>
        <v>46492358505.7751</v>
      </c>
      <c r="F6" s="18">
        <f>E6*(1+F5)</f>
        <v>47031736265.39446</v>
      </c>
    </row>
    <row r="7" spans="1:6" x14ac:dyDescent="0.25">
      <c r="A7" t="s">
        <v>5</v>
      </c>
      <c r="B7" s="10">
        <f>Assumptions!B7</f>
        <v>0.07206648058107537</v>
      </c>
      <c r="C7" s="10">
        <f>Assumptions!B7</f>
        <v>0.07206648058107537</v>
      </c>
      <c r="D7" s="10">
        <f>Assumptions!B7</f>
        <v>0.07206648058107537</v>
      </c>
      <c r="E7" s="10">
        <f>Assumptions!B7</f>
        <v>0.07206648058107537</v>
      </c>
      <c r="F7" s="10">
        <f>Assumptions!B7</f>
        <v>0.07206648058107537</v>
      </c>
    </row>
    <row r="8" spans="1:6" x14ac:dyDescent="0.25">
      <c r="A8" t="s">
        <v>44</v>
      </c>
      <c r="B8" s="18">
        <f>B6*B7</f>
        <v>3236581817.663878</v>
      </c>
      <c r="C8" s="18">
        <f>C6*C7</f>
        <v>3274130789.2743297</v>
      </c>
      <c r="D8" s="18">
        <f>D6*D7</f>
        <v>3312115382.583361</v>
      </c>
      <c r="E8" s="18">
        <f>E6*E7</f>
        <v>3350540651.4248357</v>
      </c>
      <c r="F8" s="18">
        <f>F6*F7</f>
        <v>3389411708.2643085</v>
      </c>
    </row>
    <row r="9" spans="1:6" x14ac:dyDescent="0.25">
      <c r="A9" t="s">
        <v>45</v>
      </c>
      <c r="B9" s="18">
        <f>B8*(1-Assumptions!B8)</f>
        <v>2401543708.7065973</v>
      </c>
      <c r="C9" s="18">
        <f>C8*(1-Assumptions!B8)</f>
        <v>2429405045.6415524</v>
      </c>
      <c r="D9" s="18">
        <f>D8*(1-Assumptions!B8)</f>
        <v>2457589613.876854</v>
      </c>
      <c r="E9" s="18">
        <f>E8*(1-Assumptions!B8)</f>
        <v>2486101163.3572283</v>
      </c>
      <c r="F9" s="18">
        <f>F8*(1-Assumptions!B8)</f>
        <v>2514943487.532117</v>
      </c>
    </row>
    <row r="10" spans="1:6" x14ac:dyDescent="0.25">
      <c r="A10" t="s">
        <v>46</v>
      </c>
      <c r="B10" s="18">
        <f>B6*Assumptions!B9</f>
        <v>3121653038.4801226</v>
      </c>
      <c r="C10" s="18">
        <f>C6*Assumptions!B9</f>
        <v>3157868672.109361</v>
      </c>
      <c r="D10" s="18">
        <f>D6*Assumptions!B9</f>
        <v>3194504458.812308</v>
      </c>
      <c r="E10" s="18">
        <f>E6*Assumptions!B9</f>
        <v>3231565272.9646854</v>
      </c>
      <c r="F10" s="18">
        <f>F6*Assumptions!B9</f>
        <v>3269056045.4919367</v>
      </c>
    </row>
    <row r="11" spans="1:6" x14ac:dyDescent="0.25">
      <c r="A11" t="s">
        <v>47</v>
      </c>
      <c r="B11" s="18">
        <f>-B6*Assumptions!B10</f>
        <v>-2586392207.091653</v>
      </c>
      <c r="C11" s="18">
        <f>-C6*Assumptions!B10</f>
        <v>-2616398050.61075</v>
      </c>
      <c r="D11" s="18">
        <f>-D6*Assumptions!B10</f>
        <v>-2646752004.76938</v>
      </c>
      <c r="E11" s="18">
        <f>-E6*Assumptions!B10</f>
        <v>-2677458108.148137</v>
      </c>
      <c r="F11" s="18">
        <f>-F6*Assumptions!B10</f>
        <v>-2708520446.180918</v>
      </c>
    </row>
    <row r="12" spans="1:6" x14ac:dyDescent="0.25">
      <c r="A12" t="s">
        <v>48</v>
      </c>
      <c r="B12" s="18">
        <f>-(B6-Assumptions!B29)*Assumptions!B11</f>
        <v>152406853.333821</v>
      </c>
      <c r="C12" s="18">
        <f>-(C6-B6)*Assumptions!B11</f>
        <v>154174990.50181654</v>
      </c>
      <c r="D12" s="18">
        <f>-(D6-C6)*Assumptions!B11</f>
        <v>155963640.5862362</v>
      </c>
      <c r="E12" s="18">
        <f>-(E6-D6)*Assumptions!B11</f>
        <v>157773041.56620616</v>
      </c>
      <c r="F12" s="18">
        <f>-(F6-E6)*Assumptions!B11</f>
        <v>159603434.18175352</v>
      </c>
    </row>
    <row r="13" spans="1:6" x14ac:dyDescent="0.25">
      <c r="A13" s="19" t="s">
        <v>49</v>
      </c>
      <c r="B13" s="20">
        <f>B9+B10+B11+B12</f>
        <v>3089211393.428888</v>
      </c>
      <c r="C13" s="20">
        <f>C9+C10+C11+C12</f>
        <v>3125050657.64198</v>
      </c>
      <c r="D13" s="20">
        <f>D9+D10+D11+D12</f>
        <v>3161305708.506017</v>
      </c>
      <c r="E13" s="20">
        <f>E9+E10+E11+E12</f>
        <v>3197981369.7399826</v>
      </c>
      <c r="F13" s="20">
        <f>F9+F10+F11+F12</f>
        <v>3235082521.024889</v>
      </c>
    </row>
    <row r="14" spans="1:6" x14ac:dyDescent="0.25">
      <c r="A14" t="s">
        <v>50</v>
      </c>
      <c r="B14" s="21">
        <f>1/(1+Assumptions!$B$26)^(1-0.5*Assumptions!$B$32)</f>
        <v>0.9693387268150894</v>
      </c>
      <c r="C14" s="21">
        <f>1/(1+Assumptions!$B$26)^(2-0.5*Assumptions!$B$32)</f>
        <v>0.9108076963830646</v>
      </c>
      <c r="D14" s="21">
        <f>1/(1+Assumptions!$B$26)^(3-0.5*Assumptions!$B$32)</f>
        <v>0.8558109119567586</v>
      </c>
      <c r="E14" s="21">
        <f>1/(1+Assumptions!$B$26)^(4-0.5*Assumptions!$B$32)</f>
        <v>0.8041349671645981</v>
      </c>
      <c r="F14" s="21">
        <f>1/(1+Assumptions!$B$26)^(5-0.5*Assumptions!$B$32)</f>
        <v>0.7555793416308781</v>
      </c>
    </row>
    <row r="15" spans="1:6" x14ac:dyDescent="0.25">
      <c r="A15" s="19" t="s">
        <v>51</v>
      </c>
      <c r="B15" s="20">
        <f>B13*B14</f>
        <v>2994492238.969026</v>
      </c>
      <c r="C15" s="20">
        <f>C13*C14</f>
        <v>2846320190.567273</v>
      </c>
      <c r="D15" s="20">
        <f>D13*D14</f>
        <v>2705479921.3706417</v>
      </c>
      <c r="E15" s="20">
        <f>E13*E14</f>
        <v>2571608643.7488575</v>
      </c>
      <c r="F15" s="20">
        <f>F13*F14</f>
        <v>2444361521.3575473</v>
      </c>
    </row>
    <row r="17" spans="1:2" x14ac:dyDescent="0.25">
      <c r="A17" s="22" t="s">
        <v>52</v>
      </c>
      <c r="B17" s="23">
        <f>SUM(B15:F15)</f>
        <v>13562262516.013346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3235082521.024889</v>
      </c>
    </row>
    <row r="5" spans="1:2" x14ac:dyDescent="0.25">
      <c r="A5" t="s">
        <v>56</v>
      </c>
      <c r="B5" s="18">
        <f>IF(Assumptions!$B$33=0,B4,B4-Forecast!F11-Forecast!F10-Forecast!F12)</f>
        <v>2930860902.2208924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0.3265923092305305</v>
      </c>
    </row>
    <row r="7" spans="1:2" x14ac:dyDescent="0.25">
      <c r="A7" t="s">
        <v>58</v>
      </c>
      <c r="B7" s="18">
        <f>-MAX(Forecast!F9,0)*B6</f>
        <v>-957196630.0897974</v>
      </c>
    </row>
    <row r="8" spans="1:2" x14ac:dyDescent="0.25">
      <c r="A8" t="s">
        <v>59</v>
      </c>
      <c r="B8" s="18">
        <f>IF(OR(Assumptions!$B$33=0,Assumptions!B12&lt;=0),B5,MAX(B5+B7,0))</f>
        <v>1973664272.131095</v>
      </c>
    </row>
    <row r="9" spans="1:2" x14ac:dyDescent="0.25">
      <c r="A9" t="s">
        <v>60</v>
      </c>
      <c r="B9" s="18">
        <f>B8*(1+Assumptions!B12)/(Assumptions!B26-Assumptions!B12)</f>
        <v>51524780353.44098</v>
      </c>
    </row>
    <row r="10" spans="1:2" x14ac:dyDescent="0.25">
      <c r="A10" t="s">
        <v>61</v>
      </c>
      <c r="B10" s="18">
        <f>B9/(1+Assumptions!B26)^(5-0.5*Assumptions!B32)</f>
        <v>38931059617.12854</v>
      </c>
    </row>
    <row r="11" spans="1:2" x14ac:dyDescent="0.25">
      <c r="A11" t="s">
        <v>62</v>
      </c>
      <c r="B11" s="18">
        <f>Forecast!B17+B10</f>
        <v>52493322133.141884</v>
      </c>
    </row>
    <row r="12" spans="1:2" x14ac:dyDescent="0.25">
      <c r="A12" t="s">
        <v>63</v>
      </c>
      <c r="B12" s="18">
        <f>-Assumptions!B30</f>
        <v>-10625000000</v>
      </c>
    </row>
    <row r="13" spans="1:2" x14ac:dyDescent="0.25">
      <c r="A13" t="s">
        <v>64</v>
      </c>
      <c r="B13" s="18">
        <f>B11+B12</f>
        <v>41868322133.141884</v>
      </c>
    </row>
    <row r="14" spans="1:2" x14ac:dyDescent="0.25">
      <c r="A14" s="19" t="s">
        <v>65</v>
      </c>
      <c r="B14" s="24">
        <f>B13/Assumptions!B31</f>
        <v>57.19716138407361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6658467753.756245</v>
      </c>
    </row>
    <row r="18" spans="1:2" x14ac:dyDescent="0.25">
      <c r="A18" t="s">
        <v>60</v>
      </c>
      <c r="B18" s="18">
        <f>B17*Assumptions!B13</f>
        <v>34617322755.584435</v>
      </c>
    </row>
    <row r="19" spans="1:2" x14ac:dyDescent="0.25">
      <c r="A19" t="s">
        <v>61</v>
      </c>
      <c r="B19" s="18">
        <f>B18/(1+Assumptions!B26)^(5-0.5*Assumptions!B32)</f>
        <v>26156133936.688103</v>
      </c>
    </row>
    <row r="20" spans="1:2" x14ac:dyDescent="0.25">
      <c r="A20" t="s">
        <v>62</v>
      </c>
      <c r="B20" s="18">
        <f>Forecast!B17+B19</f>
        <v>39718396452.70145</v>
      </c>
    </row>
    <row r="21" spans="1:2" x14ac:dyDescent="0.25">
      <c r="A21" t="s">
        <v>63</v>
      </c>
      <c r="B21" s="18">
        <f>-Assumptions!B30</f>
        <v>-10625000000</v>
      </c>
    </row>
    <row r="22" spans="1:2" x14ac:dyDescent="0.25">
      <c r="A22" t="s">
        <v>64</v>
      </c>
      <c r="B22" s="18">
        <f>B20+B21</f>
        <v>29093396452.701447</v>
      </c>
    </row>
    <row r="23" spans="1:2" x14ac:dyDescent="0.25">
      <c r="A23" s="19" t="s">
        <v>65</v>
      </c>
      <c r="B23" s="25">
        <f>B22/Assumptions!B31</f>
        <v>39.74507712117684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31.74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57.19716138407361</v>
      </c>
    </row>
    <row r="29" spans="1:2" x14ac:dyDescent="0.25">
      <c r="A29" s="19" t="s">
        <v>73</v>
      </c>
      <c r="B29" s="12">
        <f>B28/B26-1</f>
        <v>0.8020529736633148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0.044263</v>
      </c>
      <c r="B5" s="31">
        <v>96.77190357662633</v>
      </c>
      <c r="C5" s="31">
        <v>107.20647293299699</v>
      </c>
      <c r="D5" s="31">
        <v>122.94621430533917</v>
      </c>
      <c r="E5" s="31">
        <v>149.57042940013622</v>
      </c>
      <c r="F5" s="31">
        <v>204.70484485420383</v>
      </c>
    </row>
    <row r="6" spans="1:6" x14ac:dyDescent="0.25">
      <c r="A6" s="30">
        <v>0.054263</v>
      </c>
      <c r="B6" s="31">
        <v>70.04963768984965</v>
      </c>
      <c r="C6" s="31">
        <v>73.85665387603909</v>
      </c>
      <c r="D6" s="31">
        <v>78.89417775725443</v>
      </c>
      <c r="E6" s="31">
        <v>85.92294029938567</v>
      </c>
      <c r="F6" s="31">
        <v>96.49350890697715</v>
      </c>
    </row>
    <row r="7" spans="1:6" x14ac:dyDescent="0.25">
      <c r="A7" s="30">
        <v>0.064263</v>
      </c>
      <c r="B7" s="31">
        <v>54.130112484314154</v>
      </c>
      <c r="C7" s="31">
        <v>55.512568521001306</v>
      </c>
      <c r="D7" s="32">
        <v>57.19679727335683</v>
      </c>
      <c r="E7" s="31">
        <v>59.31491182940653</v>
      </c>
      <c r="F7" s="31">
        <v>62.08931888208727</v>
      </c>
    </row>
    <row r="8" spans="1:6" x14ac:dyDescent="0.25">
      <c r="A8" s="30">
        <v>0.074263</v>
      </c>
      <c r="B8" s="31">
        <v>43.5469825399033</v>
      </c>
      <c r="C8" s="31">
        <v>43.8810680338488</v>
      </c>
      <c r="D8" s="31">
        <v>44.24451093935</v>
      </c>
      <c r="E8" s="31">
        <v>44.64725999854679</v>
      </c>
      <c r="F8" s="31">
        <v>45.10433169783686</v>
      </c>
    </row>
    <row r="9" spans="1:6" x14ac:dyDescent="0.25">
      <c r="A9" s="30">
        <v>0.084263</v>
      </c>
      <c r="B9" s="31">
        <v>36.72210998402573</v>
      </c>
      <c r="C9" s="31">
        <v>36.887196401451405</v>
      </c>
      <c r="D9" s="31">
        <v>37.05228281887709</v>
      </c>
      <c r="E9" s="31">
        <v>37.21736923630278</v>
      </c>
      <c r="F9" s="31">
        <v>37.38245565372846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44396000000</v>
      </c>
      <c r="C5" s="18">
        <v>44692000000</v>
      </c>
      <c r="D5" s="18">
        <v>45351000000</v>
      </c>
      <c r="E5" s="18">
        <v>42886000000</v>
      </c>
      <c r="F5" s="8" t="s">
        <v>84</v>
      </c>
    </row>
    <row r="6" spans="1:6" x14ac:dyDescent="0.25">
      <c r="A6" t="s">
        <v>44</v>
      </c>
      <c r="B6" s="18">
        <v>3498000000</v>
      </c>
      <c r="C6" s="18">
        <v>3252000000</v>
      </c>
      <c r="D6" s="18">
        <v>3110000000</v>
      </c>
      <c r="E6" s="18">
        <v>2922000000</v>
      </c>
      <c r="F6" s="8" t="s">
        <v>85</v>
      </c>
    </row>
    <row r="7" spans="1:6" x14ac:dyDescent="0.25">
      <c r="A7" t="s">
        <v>86</v>
      </c>
      <c r="B7" s="18">
        <v>3076000000</v>
      </c>
      <c r="C7" s="18">
        <v>2996000000</v>
      </c>
      <c r="D7" s="18">
        <v>3049000000</v>
      </c>
      <c r="E7" s="18">
        <v>3194000000</v>
      </c>
      <c r="F7" s="8" t="s">
        <v>87</v>
      </c>
    </row>
    <row r="8" spans="1:6" x14ac:dyDescent="0.25">
      <c r="A8" t="s">
        <v>88</v>
      </c>
      <c r="B8" s="18">
        <v>0</v>
      </c>
      <c r="C8" s="18">
        <v>0</v>
      </c>
      <c r="D8" s="18">
        <v>0</v>
      </c>
      <c r="E8" s="18">
        <v>0</v>
      </c>
      <c r="F8" s="8" t="s">
        <v>89</v>
      </c>
    </row>
    <row r="9" spans="1:6" x14ac:dyDescent="0.25">
      <c r="A9" t="s">
        <v>90</v>
      </c>
      <c r="B9" s="18">
        <v>398000000</v>
      </c>
      <c r="C9" s="18">
        <v>195000000</v>
      </c>
      <c r="D9" s="18">
        <v>-82000000</v>
      </c>
      <c r="E9" s="18">
        <v>143000000</v>
      </c>
      <c r="F9" s="8" t="s">
        <v>91</v>
      </c>
    </row>
    <row r="10" spans="1:6" x14ac:dyDescent="0.25">
      <c r="A10" t="s">
        <v>92</v>
      </c>
      <c r="B10" s="18">
        <v>20190000000</v>
      </c>
      <c r="C10" s="18">
        <v>19965000000</v>
      </c>
      <c r="D10" s="18">
        <v>20460000000</v>
      </c>
      <c r="E10" s="18">
        <v>21563000000</v>
      </c>
      <c r="F10" s="8" t="s">
        <v>93</v>
      </c>
    </row>
    <row r="11" spans="1:6" x14ac:dyDescent="0.25">
      <c r="A11" t="s">
        <v>94</v>
      </c>
      <c r="B11" s="18">
        <v>9565000000</v>
      </c>
      <c r="C11" s="18">
        <v>11811000000</v>
      </c>
      <c r="D11" s="18">
        <v>10786000000</v>
      </c>
      <c r="E11" s="18">
        <v>10863000000</v>
      </c>
      <c r="F11" s="8" t="s">
        <v>95</v>
      </c>
    </row>
    <row r="12" spans="1:6" x14ac:dyDescent="0.25">
      <c r="A12" t="s">
        <v>32</v>
      </c>
      <c r="B12" s="34">
        <v>732000000</v>
      </c>
      <c r="C12" s="34">
        <v>741000000</v>
      </c>
      <c r="D12" s="34">
        <v>731000000</v>
      </c>
      <c r="E12" s="34">
        <v>714000000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2026-09-19T01:06:38Z</dcterms:modified>
</cp:coreProperties>
</file>