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<sst xmlns="http://schemas.openxmlformats.org/spreadsheetml/2006/main" count="120" uniqueCount="107">
  <si>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Valero Energy Corporation (VLO)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</si>
  <si>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</si>
  <si>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</si>
  <si>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</si>
  <si>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</si>
  <si>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</si>
  <si>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</si>
  <si>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</si>
  <si>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</si>
  <si>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</si>
  <si>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</si>
  <si>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</si>
  <si>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</si>
  <si>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</si>
  <si>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</si>
  <si>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</si>
  <si>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</si>
  <si>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</si>
  <si>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</si>
  <si>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</si>
  <si>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</si>
  <si>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</si>
  <si>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</si>
  <si>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</si>
  <si>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7.8x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</si>
  <si>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</si>
  <si>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</si>
  <si>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</si>
  <si>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</si>
  <si>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</si>
  <si>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</si>
  <si>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</si>
  <si>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</si>
  <si>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</si>
  <si>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</si>
  <si>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</si>
  <si>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</si>
  <si>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</si>
  <si>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</si>
  <si>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</si>
  <si>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</si>
  <si>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</si>
  <si>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</si>
  <si>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</si>
  <si>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</si>
  <si>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</si>
  <si>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</si>
  <si>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</si>
  <si>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</si>
  <si>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</si>
  <si>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</si>
  <si>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</si>
  <si>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</si>
  <si>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</si>
  <si>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</si>
  <si>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</si>
  <si>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</si>
  <si>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</si>
  <si>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</si>
  <si>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</si>
  <si>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</si>
  <si>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</si>
  <si>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</si>
  <si>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</si>
  <si>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</si>
  <si>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</si>
  <si>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</si>
  <si>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</si>
  <si>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</si>
  <si>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</si>
  <si>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</si>
  <si>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</si>
  <si>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</si>
  <si>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</si>
  <si>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</si>
  <si>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</si>
  <si>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</si>
  <si>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</si>
  <si>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</si>
  <si>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</si>
  <si>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</si>
  <si>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</si>
  <si>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</si>
  <si>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</si>
  <si>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</si>
  <si>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</si>
  <si>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</si>
  <si>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</si>
  <si>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</si>
  <si>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</si>
  <si>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</si>
  <si>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</si>
  <si>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</si>
  <si>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</si>
  <si>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</si>
  <si>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</si>
  <si>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</si>
  <si>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</si>
  <si>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</si>
  <si>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</si>
  <si>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</si>
  <si>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</si>
  <si>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</si>
  <si>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</si>
  <si>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</si>
  <si>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0.73% of revenue, which is too low to be the company's real investment - property trusts and similar structures invest through lines that are not reported as capex. Capex has been set to 1.99%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</si>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</sst>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0.33117240367765133</v>
      </c>
    </row>
    <row r="7" spans="1:2" x14ac:dyDescent="0.25">
      <c r="A7" t="s">
        <v>4</v>
      </c>
      <c r="B7" s="5">
        <v>0.058817228987675683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0.01994415806395131</v>
      </c>
    </row>
    <row r="10" spans="1:3" x14ac:dyDescent="0.25">
      <c r="A10" t="s">
        <v>7</v>
      </c>
      <c r="B10" s="5">
        <v>0.01994415806395131</v>
      </c>
      <c r="C10" s="6" t="s">
        <v>8</v>
      </c>
    </row>
    <row r="11" spans="1:2" x14ac:dyDescent="0.25">
      <c r="A11" t="s">
        <v>9</v>
      </c>
      <c r="B11" s="5">
        <v>0.04169786586931281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15.859965592503347</v>
      </c>
    </row>
    <row r="14" spans="1:3" x14ac:dyDescent="0.25">
      <c r="A14" t="s">
        <v>12</v>
      </c>
      <c r="B14" s="5">
        <v>0.17327744301108325</v>
      </c>
      <c r="C14" s="6" t="s">
        <v>13</v>
      </c>
    </row>
    <row r="15" spans="1:3" x14ac:dyDescent="0.25">
      <c r="A15" t="s">
        <v>14</v>
      </c>
      <c r="B15" s="5">
        <v>0.01994415806395131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0.72664</v>
      </c>
      <c r="C19" s="6" t="s">
        <v>21</v>
      </c>
    </row>
    <row r="20" spans="1:2" x14ac:dyDescent="0.25">
      <c r="A20" t="s">
        <v>22</v>
      </c>
      <c r="B20" s="9">
        <f>B17+B19*B18</f>
        <v>0.079676872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111458942976</v>
      </c>
    </row>
    <row r="23" spans="1:2" x14ac:dyDescent="0.25">
      <c r="A23" t="s">
        <v>26</v>
      </c>
      <c r="B23" s="10">
        <v>11703000000</v>
      </c>
    </row>
    <row r="24" spans="1:2" x14ac:dyDescent="0.25">
      <c r="A24" t="s">
        <v>27</v>
      </c>
      <c r="B24" s="9">
        <f>B22/(B22+B23)</f>
        <v>0.9049787644038669</v>
      </c>
    </row>
    <row r="25" spans="1:2" x14ac:dyDescent="0.25">
      <c r="A25" t="s">
        <v>28</v>
      </c>
      <c r="B25" s="9">
        <f>1-B24</f>
        <v>0.09502123559613307</v>
      </c>
    </row>
    <row r="26" spans="1:2" x14ac:dyDescent="0.25">
      <c r="A26" t="s">
        <v>29</v>
      </c>
      <c r="B26" s="11">
        <f>B24*B20+B25*B21*(1-B8)</f>
        <v>0.07619251246614932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122687000000</v>
      </c>
      <c r="C29" s="6" t="s">
        <v>32</v>
      </c>
    </row>
    <row r="30" spans="1:2" x14ac:dyDescent="0.25">
      <c r="A30" t="s">
        <v>33</v>
      </c>
      <c r="B30" s="10">
        <v>7015000000</v>
      </c>
    </row>
    <row r="31" spans="1:2" x14ac:dyDescent="0.25">
      <c r="A31" t="s">
        <v>34</v>
      </c>
      <c r="B31" s="12">
        <v>309000000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0.33117240367765133</v>
      </c>
      <c r="C5" s="5">
        <v>-0.1191215173510084</v>
      </c>
      <c r="D5" s="5">
        <v>-0.10110632768213235</v>
      </c>
      <c r="E5" s="5">
        <v>-0.0830911380132563</v>
      </c>
      <c r="F5" s="5">
        <v>-0.06507594834438025</v>
      </c>
      <c r="G5" s="5">
        <v>-0.0470607586755042</v>
      </c>
      <c r="H5" s="5">
        <v>-0.02904556900662815</v>
      </c>
      <c r="I5" s="5">
        <v>-0.011030379337752111</v>
      </c>
      <c r="J5" s="5">
        <v>0.006984810331123942</v>
      </c>
      <c r="K5" s="5">
        <v>0.024999999999999994</v>
      </c>
    </row>
    <row r="6" spans="1:11" x14ac:dyDescent="0.25">
      <c r="A6" t="s">
        <v>50</v>
      </c>
      <c r="B6" s="18">
        <f>Assumptions!B29*(1+B5)</f>
        <v>163317548690</v>
      </c>
      <c r="C6" s="18">
        <f>B6*(1+C5)</f>
        <v>143862914480</v>
      </c>
      <c r="D6" s="18">
        <f>C6*(1+D5)</f>
        <v>129317463507.27853</v>
      </c>
      <c r="E6" s="18">
        <f>D6*(1+E5)</f>
        <v>118572328299.47102</v>
      </c>
      <c r="F6" s="18">
        <f>E6*(1+F5)</f>
        <v>110856121587.98175</v>
      </c>
      <c r="G6" s="18">
        <f>F6*(1+G5)</f>
        <v>105639148402.22739</v>
      </c>
      <c r="H6" s="18">
        <f>G6*(1+H5)</f>
        <v>102570799227.50906</v>
      </c>
      <c r="I6" s="18">
        <f>H6*(1+I5)</f>
        <v>101439404403.05324</v>
      </c>
      <c r="J6" s="18">
        <f>I6*(1+J5)</f>
        <v>102147939402.91074</v>
      </c>
      <c r="K6" s="18">
        <f>J6*(1+K5)</f>
        <v>104701637887.98349</v>
      </c>
    </row>
    <row r="7" spans="1:11" x14ac:dyDescent="0.25">
      <c r="A7" t="s">
        <v>4</v>
      </c>
      <c r="B7" s="9">
        <f>Assumptions!B7</f>
        <v>0.058817228987675683</v>
      </c>
      <c r="C7" s="9">
        <f>Assumptions!B7</f>
        <v>0.058817228987675683</v>
      </c>
      <c r="D7" s="9">
        <f>Assumptions!B7</f>
        <v>0.058817228987675683</v>
      </c>
      <c r="E7" s="9">
        <f>Assumptions!B7</f>
        <v>0.058817228987675683</v>
      </c>
      <c r="F7" s="9">
        <f>Assumptions!B7</f>
        <v>0.058817228987675683</v>
      </c>
      <c r="G7" s="9">
        <f>Assumptions!B7</f>
        <v>0.058817228987675683</v>
      </c>
      <c r="H7" s="9">
        <f>Assumptions!B7</f>
        <v>0.058817228987675683</v>
      </c>
      <c r="I7" s="9">
        <f>Assumptions!B7</f>
        <v>0.058817228987675683</v>
      </c>
      <c r="J7" s="9">
        <f>Assumptions!B7</f>
        <v>0.058817228987675683</v>
      </c>
      <c r="K7" s="9">
        <f>Assumptions!B7</f>
        <v>0.058817228987675683</v>
      </c>
    </row>
    <row r="8" spans="1:11" x14ac:dyDescent="0.25">
      <c r="A8" t="s">
        <v>51</v>
      </c>
      <c r="B8" s="18">
        <f>B6*B7</f>
        <v>9605885659.005604</v>
      </c>
      <c r="C8" s="18">
        <f>C6*C7</f>
        <v>8461617983.8045635</v>
      </c>
      <c r="D8" s="18">
        <f>D6*D7</f>
        <v>7606094863.212996</v>
      </c>
      <c r="E8" s="18">
        <f>E6*E7</f>
        <v>6974095785.191845</v>
      </c>
      <c r="F8" s="18">
        <f>F6*F7</f>
        <v>6520249888.12594</v>
      </c>
      <c r="G8" s="18">
        <f>G6*G7</f>
        <v>6213401981.636862</v>
      </c>
      <c r="H8" s="18">
        <f>H6*H7</f>
        <v>6032930185.613309</v>
      </c>
      <c r="I8" s="18">
        <f>I6*I7</f>
        <v>5966384677.1478195</v>
      </c>
      <c r="J8" s="18">
        <f>J6*J7</f>
        <v>6008058742.480221</v>
      </c>
      <c r="K8" s="18">
        <f>K6*K7</f>
        <v>6158260211.042225</v>
      </c>
    </row>
    <row r="9" spans="1:11" x14ac:dyDescent="0.25">
      <c r="A9" t="s">
        <v>52</v>
      </c>
      <c r="B9" s="18">
        <f>B8*(1-Assumptions!B8)</f>
        <v>7588649670.614428</v>
      </c>
      <c r="C9" s="18">
        <f>C8*(1-Assumptions!B8)</f>
        <v>6684678207.2056055</v>
      </c>
      <c r="D9" s="18">
        <f>D8*(1-Assumptions!B8)</f>
        <v>6008814941.938267</v>
      </c>
      <c r="E9" s="18">
        <f>E8*(1-Assumptions!B8)</f>
        <v>5509535670.301558</v>
      </c>
      <c r="F9" s="18">
        <f>F8*(1-Assumptions!B8)</f>
        <v>5150997411.6194935</v>
      </c>
      <c r="G9" s="18">
        <f>G8*(1-Assumptions!B8)</f>
        <v>4908587565.493121</v>
      </c>
      <c r="H9" s="18">
        <f>H8*(1-Assumptions!B8)</f>
        <v>4766014846.634514</v>
      </c>
      <c r="I9" s="18">
        <f>I8*(1-Assumptions!B8)</f>
        <v>4713443894.946777</v>
      </c>
      <c r="J9" s="18">
        <f>J8*(1-Assumptions!B8)</f>
        <v>4746366406.559375</v>
      </c>
      <c r="K9" s="18">
        <f>K8*(1-Assumptions!B8)</f>
        <v>4865025566.723358</v>
      </c>
    </row>
    <row r="10" spans="1:11" x14ac:dyDescent="0.25">
      <c r="A10" t="s">
        <v>53</v>
      </c>
      <c r="B10" s="18">
        <f>B6*Assumptions!B9</f>
        <v>3257231005.690424</v>
      </c>
      <c r="C10" s="18">
        <f>C6*Assumptions!B9</f>
        <v>2869224705.9298296</v>
      </c>
      <c r="D10" s="18">
        <f>D6*Assumptions!B9</f>
        <v>2579127932.618418</v>
      </c>
      <c r="E10" s="18">
        <f>E6*Assumptions!B9</f>
        <v>2364825257.615377</v>
      </c>
      <c r="F10" s="18">
        <f>F6*Assumptions!B9</f>
        <v>2210932011.307313</v>
      </c>
      <c r="G10" s="18">
        <f>G6*Assumptions!B9</f>
        <v>2106883873.4752324</v>
      </c>
      <c r="H10" s="18">
        <f>H6*Assumptions!B9</f>
        <v>2045688232.5392556</v>
      </c>
      <c r="I10" s="18">
        <f>I6*Assumptions!B9</f>
        <v>2023123515.327572</v>
      </c>
      <c r="J10" s="18">
        <f>J6*Assumptions!B9</f>
        <v>2037254649.3585718</v>
      </c>
      <c r="K10" s="18">
        <f>K6*Assumptions!B9</f>
        <v>2088186015.592536</v>
      </c>
    </row>
    <row r="11" spans="1:11" x14ac:dyDescent="0.25">
      <c r="A11" t="s">
        <v>54</v>
      </c>
      <c r="B11" s="18">
        <f>-B6*B19</f>
        <v>-3257231005.690424</v>
      </c>
      <c r="C11" s="18">
        <f>-C6*C19</f>
        <v>-2976385512.6274643</v>
      </c>
      <c r="D11" s="18">
        <f>-D6*D19</f>
        <v>-2771780274.7403827</v>
      </c>
      <c r="E11" s="18">
        <f>-E6*E19</f>
        <v>-2629792217.2765737</v>
      </c>
      <c r="F11" s="18">
        <f>-F6*F19</f>
        <v>-2541230655.9490695</v>
      </c>
      <c r="G11" s="18">
        <f>-G6*G19</f>
        <v>-2500327048.2695127</v>
      </c>
      <c r="H11" s="18">
        <f>-H6*H19</f>
        <v>-2504106705.231983</v>
      </c>
      <c r="I11" s="18">
        <f>-I6*I19</f>
        <v>-2552045782.2116485</v>
      </c>
      <c r="J11" s="18">
        <f>-J6*J19</f>
        <v>-2645959436.327908</v>
      </c>
      <c r="K11" s="18">
        <f>-K6*K19</f>
        <v>-2790098723.066552</v>
      </c>
    </row>
    <row r="12" spans="1:11" x14ac:dyDescent="0.25">
      <c r="A12" t="s">
        <v>55</v>
      </c>
      <c r="B12" s="18">
        <f>-(B6-Assumptions!B29)*Assumptions!B11</f>
        <v>-1694207169.4722033</v>
      </c>
      <c r="C12" s="18">
        <f>-(C6-B6)*Assumptions!B11</f>
        <v>811216727.8251244</v>
      </c>
      <c r="D12" s="18">
        <f>-(D6-C6)*Assumptions!B11</f>
        <v>606514263.6692052</v>
      </c>
      <c r="E12" s="18">
        <f>-(E6-D6)*Assumptions!B11</f>
        <v>448049206.6427882</v>
      </c>
      <c r="F12" s="18">
        <f>-(F6-E6)*Assumptions!B11</f>
        <v>321749352.475571</v>
      </c>
      <c r="G12" s="18">
        <f>-(G6-F6)*Assumptions!B11</f>
        <v>217536648.14338702</v>
      </c>
      <c r="H12" s="18">
        <f>-(H6-G6)*Assumptions!B11</f>
        <v>127943612.32762128</v>
      </c>
      <c r="I12" s="18">
        <f>-(I6-H6)*Assumptions!B11</f>
        <v>47176749.63539374</v>
      </c>
      <c r="J12" s="18">
        <f>-(J6-I6)*Assumptions!B11</f>
        <v>-29544397.38777153</v>
      </c>
      <c r="K12" s="18">
        <f>-(K6-J6)*Assumptions!B11</f>
        <v>-106483776.901231</v>
      </c>
    </row>
    <row r="13" spans="1:11" x14ac:dyDescent="0.25">
      <c r="A13" s="19" t="s">
        <v>56</v>
      </c>
      <c r="B13" s="20">
        <f>B9+B10+B11+B12</f>
        <v>5894442501.142224</v>
      </c>
      <c r="C13" s="20">
        <f>C9+C10+C11+C12</f>
        <v>7388734128.333096</v>
      </c>
      <c r="D13" s="20">
        <f>D9+D10+D11+D12</f>
        <v>6422676863.485506</v>
      </c>
      <c r="E13" s="20">
        <f>E9+E10+E11+E12</f>
        <v>5692617917.28315</v>
      </c>
      <c r="F13" s="20">
        <f>F9+F10+F11+F12</f>
        <v>5142448119.453308</v>
      </c>
      <c r="G13" s="20">
        <f>G9+G10+G11+G12</f>
        <v>4732681038.842228</v>
      </c>
      <c r="H13" s="20">
        <f>H9+H10+H11+H12</f>
        <v>4435539986.269407</v>
      </c>
      <c r="I13" s="20">
        <f>I9+I10+I11+I12</f>
        <v>4231698377.6980944</v>
      </c>
      <c r="J13" s="20">
        <f>J9+J10+J11+J12</f>
        <v>4108117222.202267</v>
      </c>
      <c r="K13" s="20">
        <f>K9+K10+K11+K12</f>
        <v>4056629082.348111</v>
      </c>
    </row>
    <row r="14" spans="1:11" x14ac:dyDescent="0.25">
      <c r="A14" t="s">
        <v>57</v>
      </c>
      <c r="B14" s="21">
        <f>1/(1+Assumptions!$B$26)^(1-0.5*Assumptions!$B$32)</f>
        <v>0.9639511303311934</v>
      </c>
      <c r="C14" s="21">
        <f>1/(1+Assumptions!$B$26)^(2-0.5*Assumptions!$B$32)</f>
        <v>0.8957051077434565</v>
      </c>
      <c r="D14" s="21">
        <f>1/(1+Assumptions!$B$26)^(3-0.5*Assumptions!$B$32)</f>
        <v>0.8322907819632597</v>
      </c>
      <c r="E14" s="21">
        <f>1/(1+Assumptions!$B$26)^(4-0.5*Assumptions!$B$32)</f>
        <v>0.7733660774651027</v>
      </c>
      <c r="F14" s="21">
        <f>1/(1+Assumptions!$B$26)^(5-0.5*Assumptions!$B$32)</f>
        <v>0.7186131370612265</v>
      </c>
      <c r="G14" s="21">
        <f>1/(1+Assumptions!$B$26)^(6-0.5*Assumptions!$B$32)</f>
        <v>0.6677366072864496</v>
      </c>
      <c r="H14" s="21">
        <f>1/(1+Assumptions!$B$26)^(7-0.5*Assumptions!$B$32)</f>
        <v>0.6204620451747034</v>
      </c>
      <c r="I14" s="21">
        <f>1/(1+Assumptions!$B$26)^(8-0.5*Assumptions!$B$32)</f>
        <v>0.5765344378329519</v>
      </c>
      <c r="J14" s="21">
        <f>1/(1+Assumptions!$B$26)^(9-0.5*Assumptions!$B$32)</f>
        <v>0.5357168268266372</v>
      </c>
      <c r="K14" s="21">
        <f>1/(1+Assumptions!$B$26)^(10-0.5*Assumptions!$B$32)</f>
        <v>0.49778902995618807</v>
      </c>
    </row>
    <row r="15" spans="1:11" x14ac:dyDescent="0.25">
      <c r="A15" s="19" t="s">
        <v>58</v>
      </c>
      <c r="B15" s="20">
        <f>B13*B14</f>
        <v>5681954511.648273</v>
      </c>
      <c r="C15" s="20">
        <f>C13*C14</f>
        <v>6618126898.50635</v>
      </c>
      <c r="D15" s="20">
        <f>D13*D14</f>
        <v>5345534749.007688</v>
      </c>
      <c r="E15" s="20">
        <f>E13*E14</f>
        <v>4402477589.196832</v>
      </c>
      <c r="F15" s="20">
        <f>F13*F14</f>
        <v>3695430775.2949467</v>
      </c>
      <c r="G15" s="20">
        <f>G13*G14</f>
        <v>3160184380.245419</v>
      </c>
      <c r="H15" s="20">
        <f>H13*H14</f>
        <v>2752084211.3348923</v>
      </c>
      <c r="I15" s="20">
        <f>I13*I14</f>
        <v>2439719845.2647853</v>
      </c>
      <c r="J15" s="20">
        <f>J13*J14</f>
        <v>2200787522.510058</v>
      </c>
      <c r="K15" s="20">
        <f>K13*K14</f>
        <v>2019345455.7941277</v>
      </c>
    </row>
    <row r="17" spans="1:2" x14ac:dyDescent="0.25">
      <c r="A17" s="22" t="s">
        <v>59</v>
      </c>
      <c r="B17" s="23">
        <f>SUM(B15:K15)</f>
        <v>38315645938.803375</v>
      </c>
    </row>
    <row r="19" spans="1:11" x14ac:dyDescent="0.25">
      <c r="A19" t="s">
        <v>7</v>
      </c>
      <c r="B19" s="9">
        <f>Assumptions!$B$10+($B$20-Assumptions!$B$10)*0/9</f>
        <v>0.01994415806395131</v>
      </c>
      <c r="C19" s="9">
        <f>Assumptions!$B$10+($B$20-Assumptions!$B$10)*1/9</f>
        <v>0.02068903944693297</v>
      </c>
      <c r="D19" s="9">
        <f>Assumptions!$B$10+($B$20-Assumptions!$B$10)*2/9</f>
        <v>0.021433920829914632</v>
      </c>
      <c r="E19" s="9">
        <f>Assumptions!$B$10+($B$20-Assumptions!$B$10)*3/9</f>
        <v>0.022178802212896292</v>
      </c>
      <c r="F19" s="9">
        <f>Assumptions!$B$10+($B$20-Assumptions!$B$10)*4/9</f>
        <v>0.022923683595877955</v>
      </c>
      <c r="G19" s="9">
        <f>Assumptions!$B$10+($B$20-Assumptions!$B$10)*5/9</f>
        <v>0.023668564978859614</v>
      </c>
      <c r="H19" s="9">
        <f>Assumptions!$B$10+($B$20-Assumptions!$B$10)*6/9</f>
        <v>0.024413446361841278</v>
      </c>
      <c r="I19" s="9">
        <f>Assumptions!$B$10+($B$20-Assumptions!$B$10)*7/9</f>
        <v>0.025158327744822937</v>
      </c>
      <c r="J19" s="9">
        <f>Assumptions!$B$10+($B$20-Assumptions!$B$10)*8/9</f>
        <v>0.025903209127804597</v>
      </c>
      <c r="K19" s="9">
        <f>Assumptions!$B$10+($B$20-Assumptions!$B$10)*9/9</f>
        <v>0.02664809051078626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0.02664809051078626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4056629082.348111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4865025566.723358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0.14427729060152936</v>
      </c>
    </row>
    <row r="7" spans="1:2" x14ac:dyDescent="0.25">
      <c r="A7" t="s">
        <v>66</v>
      </c>
      <c r="B7" s="18">
        <f>-MAX(B5,0)*B6</f>
        <v>-701912707.474016</v>
      </c>
    </row>
    <row r="8" spans="1:2" x14ac:dyDescent="0.25">
      <c r="A8" t="s">
        <v>67</v>
      </c>
      <c r="B8" s="18">
        <f>IF(OR(Assumptions!$B$33=0,Assumptions!B12&lt;=0),B5,MAX(B5+B7,0))</f>
        <v>4163112859.249342</v>
      </c>
    </row>
    <row r="9" spans="1:2" x14ac:dyDescent="0.25">
      <c r="A9" t="s">
        <v>68</v>
      </c>
      <c r="B9" s="18">
        <f>B8*(1+Assumptions!B12)/(Assumptions!B26-Assumptions!B12)</f>
        <v>83355758003.71635</v>
      </c>
    </row>
    <row r="10" spans="1:2" x14ac:dyDescent="0.25">
      <c r="A10" t="s">
        <v>69</v>
      </c>
      <c r="B10" s="18">
        <f>B9/(1+Assumptions!B26)^(10-0.5*Assumptions!B32)</f>
        <v>41493581917.932724</v>
      </c>
    </row>
    <row r="11" spans="1:2" x14ac:dyDescent="0.25">
      <c r="A11" t="s">
        <v>70</v>
      </c>
      <c r="B11" s="18">
        <f>Forecast!B17+B10</f>
        <v>79809227856.7361</v>
      </c>
    </row>
    <row r="12" spans="1:2" x14ac:dyDescent="0.25">
      <c r="A12" t="s">
        <v>71</v>
      </c>
      <c r="B12" s="18">
        <f>-Assumptions!B30</f>
        <v>-7015000000</v>
      </c>
    </row>
    <row r="13" spans="1:2" x14ac:dyDescent="0.25">
      <c r="A13" t="s">
        <v>72</v>
      </c>
      <c r="B13" s="18">
        <f>B11+B12</f>
        <v>72794227856.7361</v>
      </c>
    </row>
    <row r="14" spans="1:2" x14ac:dyDescent="0.25">
      <c r="A14" s="19" t="s">
        <v>73</v>
      </c>
      <c r="B14" s="24">
        <f>B13/Assumptions!B31</f>
        <v>235.58002542633042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8246446226.634761</v>
      </c>
    </row>
    <row r="18" spans="1:2" x14ac:dyDescent="0.25">
      <c r="A18" t="s">
        <v>68</v>
      </c>
      <c r="B18" s="18">
        <f>B17*Assumptions!B13</f>
        <v>130788353414.85637</v>
      </c>
    </row>
    <row r="19" spans="1:2" x14ac:dyDescent="0.25">
      <c r="A19" t="s">
        <v>69</v>
      </c>
      <c r="B19" s="18">
        <f>B18/(1+Assumptions!B26)^(10-0.5*Assumptions!B32)</f>
        <v>65105007575.94845</v>
      </c>
    </row>
    <row r="20" spans="1:2" x14ac:dyDescent="0.25">
      <c r="A20" t="s">
        <v>70</v>
      </c>
      <c r="B20" s="18">
        <f>Forecast!B17+B19</f>
        <v>103420653514.75183</v>
      </c>
    </row>
    <row r="21" spans="1:2" x14ac:dyDescent="0.25">
      <c r="A21" t="s">
        <v>71</v>
      </c>
      <c r="B21" s="18">
        <f>-Assumptions!B30</f>
        <v>-7015000000</v>
      </c>
    </row>
    <row r="22" spans="1:2" x14ac:dyDescent="0.25">
      <c r="A22" t="s">
        <v>72</v>
      </c>
      <c r="B22" s="18">
        <f>B20+B21</f>
        <v>96405653514.75183</v>
      </c>
    </row>
    <row r="23" spans="1:2" x14ac:dyDescent="0.25">
      <c r="A23" s="19" t="s">
        <v>73</v>
      </c>
      <c r="B23" s="25">
        <f>B22/Assumptions!B31</f>
        <v>311.9924061966079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399.66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235.58002542633042</v>
      </c>
    </row>
    <row r="29" spans="1:2" x14ac:dyDescent="0.25">
      <c r="A29" s="19" t="s">
        <v>81</v>
      </c>
      <c r="B29" s="11">
        <f>B28/B26-1</f>
        <v>-0.4105489030017254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0.056193</v>
      </c>
      <c r="B5" s="31">
        <v>324.94991353666</v>
      </c>
      <c r="C5" s="31">
        <v>346.0147617968816</v>
      </c>
      <c r="D5" s="31">
        <v>374.26633038283535</v>
      </c>
      <c r="E5" s="31">
        <v>413.8202534290603</v>
      </c>
      <c r="F5" s="31">
        <v>472.6761212202763</v>
      </c>
    </row>
    <row r="6" spans="1:6" x14ac:dyDescent="0.25">
      <c r="A6" s="30">
        <v>0.066193</v>
      </c>
      <c r="B6" s="31">
        <v>264.1014151272257</v>
      </c>
      <c r="C6" s="31">
        <v>274.75148126312416</v>
      </c>
      <c r="D6" s="31">
        <v>288.2979991865236</v>
      </c>
      <c r="E6" s="31">
        <v>305.9413882274746</v>
      </c>
      <c r="F6" s="31">
        <v>329.6517399694501</v>
      </c>
    </row>
    <row r="7" spans="1:6" x14ac:dyDescent="0.25">
      <c r="A7" s="30">
        <v>0.076193</v>
      </c>
      <c r="B7" s="31">
        <v>222.92208089513707</v>
      </c>
      <c r="C7" s="31">
        <v>228.57887477092527</v>
      </c>
      <c r="D7" s="32">
        <v>235.5779493153969</v>
      </c>
      <c r="E7" s="31">
        <v>244.35517598159137</v>
      </c>
      <c r="F7" s="31">
        <v>255.5580502620886</v>
      </c>
    </row>
    <row r="8" spans="1:6" x14ac:dyDescent="0.25">
      <c r="A8" s="30">
        <v>0.086193</v>
      </c>
      <c r="B8" s="31">
        <v>193.1343822462334</v>
      </c>
      <c r="C8" s="31">
        <v>196.13925415778493</v>
      </c>
      <c r="D8" s="31">
        <v>199.8235402370875</v>
      </c>
      <c r="E8" s="31">
        <v>204.36860137457705</v>
      </c>
      <c r="F8" s="31">
        <v>210.026652245557</v>
      </c>
    </row>
    <row r="9" spans="1:6" x14ac:dyDescent="0.25">
      <c r="A9" s="30">
        <v>0.096193</v>
      </c>
      <c r="B9" s="31">
        <v>170.5380848404229</v>
      </c>
      <c r="C9" s="31">
        <v>172.03665125052405</v>
      </c>
      <c r="D9" s="31">
        <v>173.89947700018934</v>
      </c>
      <c r="E9" s="31">
        <v>176.20910692185532</v>
      </c>
      <c r="F9" s="31">
        <v>179.0750643691737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122687000000</v>
      </c>
      <c r="C5" s="18">
        <v>129881000000</v>
      </c>
      <c r="D5" s="18">
        <v>144766000000</v>
      </c>
      <c r="E5" s="18">
        <v>176383000000</v>
      </c>
      <c r="F5" s="6" t="s">
        <v>91</v>
      </c>
    </row>
    <row r="6" spans="1:6" x14ac:dyDescent="0.25">
      <c r="A6" t="s">
        <v>51</v>
      </c>
      <c r="B6" s="18">
        <v>4312000000</v>
      </c>
      <c r="C6" s="18">
        <v>3755000000</v>
      </c>
      <c r="D6" s="18">
        <v>11858000000</v>
      </c>
      <c r="E6" s="18">
        <v>15751000000</v>
      </c>
      <c r="F6" s="6" t="s">
        <v>92</v>
      </c>
    </row>
    <row r="7" spans="1:6" x14ac:dyDescent="0.25">
      <c r="A7" t="s">
        <v>93</v>
      </c>
      <c r="B7" s="18">
        <v>3158000000</v>
      </c>
      <c r="C7" s="18">
        <v>2774000000</v>
      </c>
      <c r="D7" s="18">
        <v>2701000000</v>
      </c>
      <c r="E7" s="18">
        <v>2473000000</v>
      </c>
      <c r="F7" s="6" t="s">
        <v>94</v>
      </c>
    </row>
    <row r="8" spans="1:6" x14ac:dyDescent="0.25">
      <c r="A8" t="s">
        <v>95</v>
      </c>
      <c r="B8" s="18">
        <v>796000000</v>
      </c>
      <c r="C8" s="18">
        <v>907000000</v>
      </c>
      <c r="D8" s="18">
        <v>911000000</v>
      </c>
      <c r="E8" s="18">
        <v>1681000000</v>
      </c>
      <c r="F8" s="6" t="s">
        <v>96</v>
      </c>
    </row>
    <row r="9" spans="1:6" x14ac:dyDescent="0.25">
      <c r="A9" t="s">
        <v>97</v>
      </c>
      <c r="B9" s="18">
        <v>499000000</v>
      </c>
      <c r="C9" s="18">
        <v>-512000000</v>
      </c>
      <c r="D9" s="18">
        <v>2663000000</v>
      </c>
      <c r="E9" s="18">
        <v>1875000000</v>
      </c>
      <c r="F9" s="6" t="s">
        <v>98</v>
      </c>
    </row>
    <row r="10" spans="1:6" x14ac:dyDescent="0.25">
      <c r="A10" t="s">
        <v>99</v>
      </c>
      <c r="B10" s="18">
        <v>11703000000</v>
      </c>
      <c r="C10" s="18">
        <v>11540000000</v>
      </c>
      <c r="D10" s="18">
        <v>12637000000</v>
      </c>
      <c r="E10" s="18">
        <v>12722000000</v>
      </c>
      <c r="F10" s="6" t="s">
        <v>100</v>
      </c>
    </row>
    <row r="11" spans="1:6" x14ac:dyDescent="0.25">
      <c r="A11" t="s">
        <v>101</v>
      </c>
      <c r="B11" s="18">
        <v>4688000000</v>
      </c>
      <c r="C11" s="18">
        <v>4657000000</v>
      </c>
      <c r="D11" s="18">
        <v>5424000000</v>
      </c>
      <c r="E11" s="18">
        <v>4862000000</v>
      </c>
      <c r="F11" s="6" t="s">
        <v>102</v>
      </c>
    </row>
    <row r="12" spans="1:6" x14ac:dyDescent="0.25">
      <c r="A12" t="s">
        <v>34</v>
      </c>
      <c r="B12" s="34">
        <v>309000000</v>
      </c>
      <c r="C12" s="34">
        <v>322000000</v>
      </c>
      <c r="D12" s="34">
        <v>353000000</v>
      </c>
      <c r="E12" s="34">
        <v>396000000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