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<sst xmlns="http://schemas.openxmlformats.org/spreadsheetml/2006/main" count="112" uniqueCount="100">
  <si>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Valero Energy Corporation (VLO)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</si>
  <si>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</si>
  <si>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</si>
  <si>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</si>
  <si>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</si>
  <si>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</si>
  <si>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</si>
  <si>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</si>
  <si>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</si>
  <si>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</si>
  <si>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</si>
  <si>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</si>
  <si>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</si>
  <si>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</si>
  <si>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</si>
  <si>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</si>
  <si>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</si>
  <si>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</si>
  <si>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</si>
  <si>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</si>
  <si>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</si>
  <si>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</si>
  <si>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</si>
  <si>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</si>
  <si>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</si>
  <si>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</si>
  <si>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</si>
  <si>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</si>
  <si>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</si>
  <si>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</si>
  <si>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</si>
  <si>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</si>
  <si>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</si>
  <si>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</si>
  <si>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</si>
  <si>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</si>
  <si>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</si>
  <si>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</si>
  <si>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</si>
  <si>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</si>
  <si>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</si>
  <si>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</si>
  <si>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</si>
  <si>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</si>
  <si>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</si>
  <si>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</si>
  <si>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</si>
  <si>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</si>
  <si>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</si>
  <si>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</si>
  <si>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</si>
  <si>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</si>
  <si>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</si>
  <si>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</si>
  <si>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</si>
  <si>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</si>
  <si>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</si>
  <si>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</si>
  <si>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</si>
  <si>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</si>
  <si>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</si>
  <si>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</si>
  <si>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</si>
  <si>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</si>
  <si>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</si>
  <si>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</si>
  <si>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</si>
  <si>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</si>
  <si>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</si>
  <si>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</si>
  <si>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</si>
  <si>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</si>
  <si>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</si>
  <si>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</si>
  <si>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</si>
  <si>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</si>
  <si>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</si>
  <si>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</si>
  <si>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</si>
  <si>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</si>
  <si>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</si>
  <si>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</si>
  <si>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</si>
  <si>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</si>
  <si>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</si>
  <si>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</si>
  <si>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</si>
  <si>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</si>
  <si>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</si>
  <si>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</si>
  <si>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</si>
  <si>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</si>
  <si>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</si>
  <si>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</si>
  <si>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</si>
  <si>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</si>
  <si>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</si>
  <si>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</si>
  <si>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0.73% of revenue, which is too low to be the company's real investment - property trusts and similar structures invest through lines that are not reported as capex. Capex has been set to 1.99%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</si>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</sst>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-0.11397235202184985</v>
      </c>
    </row>
    <row r="7" spans="1:2" x14ac:dyDescent="0.25">
      <c r="A7" t="s">
        <v>5</v>
      </c>
      <c r="B7" s="6">
        <v>0.058817228987675683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0.01994415806395131</v>
      </c>
    </row>
    <row r="10" spans="1:2" x14ac:dyDescent="0.25">
      <c r="A10" t="s">
        <v>8</v>
      </c>
      <c r="B10" s="6">
        <v>0.01994415806395131</v>
      </c>
    </row>
    <row r="11" spans="1:2" x14ac:dyDescent="0.25">
      <c r="A11" t="s">
        <v>9</v>
      </c>
      <c r="B11" s="6">
        <v>-0.06936335835418404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16.868762688085678</v>
      </c>
    </row>
    <row r="14" spans="1:3" x14ac:dyDescent="0.25">
      <c r="A14" t="s">
        <v>12</v>
      </c>
      <c r="B14" s="6">
        <v>0.17327744301108325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0.71056</v>
      </c>
      <c r="C19" s="8" t="s">
        <v>19</v>
      </c>
    </row>
    <row r="20" spans="1:2" x14ac:dyDescent="0.25">
      <c r="A20" t="s">
        <v>20</v>
      </c>
      <c r="B20" s="10">
        <f>B17+B19*B18</f>
        <v>0.0890608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118994657280</v>
      </c>
    </row>
    <row r="23" spans="1:2" x14ac:dyDescent="0.25">
      <c r="A23" t="s">
        <v>24</v>
      </c>
      <c r="B23" s="11">
        <v>11703000000</v>
      </c>
    </row>
    <row r="24" spans="1:2" x14ac:dyDescent="0.25">
      <c r="A24" t="s">
        <v>25</v>
      </c>
      <c r="B24" s="10">
        <f>B22/(B22+B23)</f>
        <v>0.9104574615677458</v>
      </c>
    </row>
    <row r="25" spans="1:2" x14ac:dyDescent="0.25">
      <c r="A25" t="s">
        <v>26</v>
      </c>
      <c r="B25" s="10">
        <f>1-B24</f>
        <v>0.08954253843225424</v>
      </c>
    </row>
    <row r="26" spans="1:2" x14ac:dyDescent="0.25">
      <c r="A26" t="s">
        <v>27</v>
      </c>
      <c r="B26" s="12">
        <f>B24*B20+B25*B21*(1-B8)</f>
        <v>0.0846215853891595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122687000000</v>
      </c>
      <c r="C29" s="8" t="s">
        <v>30</v>
      </c>
    </row>
    <row r="30" spans="1:2" x14ac:dyDescent="0.25">
      <c r="A30" t="s">
        <v>31</v>
      </c>
      <c r="B30" s="11">
        <v>7015000000</v>
      </c>
    </row>
    <row r="31" spans="1:2" x14ac:dyDescent="0.25">
      <c r="A31" t="s">
        <v>32</v>
      </c>
      <c r="B31" s="13">
        <v>309000000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-0.11397235202184985</v>
      </c>
      <c r="C5" s="10">
        <f>Assumptions!B6</f>
        <v>-0.11397235202184985</v>
      </c>
      <c r="D5" s="10">
        <f>Assumptions!B6</f>
        <v>-0.11397235202184985</v>
      </c>
      <c r="E5" s="10">
        <f>Assumptions!B6</f>
        <v>-0.11397235202184985</v>
      </c>
      <c r="F5" s="10">
        <f>Assumptions!B6</f>
        <v>-0.11397235202184985</v>
      </c>
    </row>
    <row r="6" spans="1:6" x14ac:dyDescent="0.25">
      <c r="A6" t="s">
        <v>43</v>
      </c>
      <c r="B6" s="18">
        <f>Assumptions!B29*(1+B5)</f>
        <v>108704074047.4953</v>
      </c>
      <c r="C6" s="18">
        <f>B6*(1+C5)</f>
        <v>96314815053.94493</v>
      </c>
      <c r="D6" s="18">
        <f>C6*(1+D5)</f>
        <v>85337589047.69736</v>
      </c>
      <c r="E6" s="18">
        <f>D6*(1+E5)</f>
        <v>75611463308.05724</v>
      </c>
      <c r="F6" s="18">
        <f>E6*(1+F5)</f>
        <v>66993846995.024155</v>
      </c>
    </row>
    <row r="7" spans="1:6" x14ac:dyDescent="0.25">
      <c r="A7" t="s">
        <v>5</v>
      </c>
      <c r="B7" s="10">
        <f>Assumptions!B7</f>
        <v>0.058817228987675683</v>
      </c>
      <c r="C7" s="10">
        <f>Assumptions!B7</f>
        <v>0.058817228987675683</v>
      </c>
      <c r="D7" s="10">
        <f>Assumptions!B7</f>
        <v>0.058817228987675683</v>
      </c>
      <c r="E7" s="10">
        <f>Assumptions!B7</f>
        <v>0.058817228987675683</v>
      </c>
      <c r="F7" s="10">
        <f>Assumptions!B7</f>
        <v>0.058817228987675683</v>
      </c>
    </row>
    <row r="8" spans="1:6" x14ac:dyDescent="0.25">
      <c r="A8" t="s">
        <v>44</v>
      </c>
      <c r="B8" s="18">
        <f>B6*B7</f>
        <v>6393672415.144785</v>
      </c>
      <c r="C8" s="18">
        <f>C6*C7</f>
        <v>5664970531.933512</v>
      </c>
      <c r="D8" s="18">
        <f>D6*D7</f>
        <v>5019320516.27458</v>
      </c>
      <c r="E8" s="18">
        <f>E6*E7</f>
        <v>4447256751.48324</v>
      </c>
      <c r="F8" s="18">
        <f>F6*F7</f>
        <v>3940392439.4716444</v>
      </c>
    </row>
    <row r="9" spans="1:6" x14ac:dyDescent="0.25">
      <c r="A9" t="s">
        <v>45</v>
      </c>
      <c r="B9" s="18">
        <f>B8*(1-Assumptions!B8)</f>
        <v>5051001207.96438</v>
      </c>
      <c r="C9" s="18">
        <f>C8*(1-Assumptions!B8)</f>
        <v>4475326720.227474</v>
      </c>
      <c r="D9" s="18">
        <f>D8*(1-Assumptions!B8)</f>
        <v>3965263207.8569183</v>
      </c>
      <c r="E9" s="18">
        <f>E8*(1-Assumptions!B8)</f>
        <v>3513332833.67176</v>
      </c>
      <c r="F9" s="18">
        <f>F8*(1-Assumptions!B8)</f>
        <v>3112910027.182599</v>
      </c>
    </row>
    <row r="10" spans="1:6" x14ac:dyDescent="0.25">
      <c r="A10" t="s">
        <v>46</v>
      </c>
      <c r="B10" s="18">
        <f>B6*Assumptions!B9</f>
        <v>2168011234.9987135</v>
      </c>
      <c r="C10" s="18">
        <f>C6*Assumptions!B9</f>
        <v>1920917895.336115</v>
      </c>
      <c r="D10" s="18">
        <f>D6*Assumptions!B9</f>
        <v>1701986364.763796</v>
      </c>
      <c r="E10" s="18">
        <f>E6*Assumptions!B9</f>
        <v>1508006975.6625483</v>
      </c>
      <c r="F10" s="18">
        <f>F6*Assumptions!B9</f>
        <v>1336135873.7809312</v>
      </c>
    </row>
    <row r="11" spans="1:6" x14ac:dyDescent="0.25">
      <c r="A11" t="s">
        <v>47</v>
      </c>
      <c r="B11" s="18">
        <f>-B6*Assumptions!B10</f>
        <v>-2168011234.9987135</v>
      </c>
      <c r="C11" s="18">
        <f>-C6*Assumptions!B10</f>
        <v>-1920917895.336115</v>
      </c>
      <c r="D11" s="18">
        <f>-D6*Assumptions!B10</f>
        <v>-1701986364.763796</v>
      </c>
      <c r="E11" s="18">
        <f>-E6*Assumptions!B10</f>
        <v>-1508006975.6625483</v>
      </c>
      <c r="F11" s="18">
        <f>-F6*Assumptions!B10</f>
        <v>-1336135873.7809312</v>
      </c>
    </row>
    <row r="12" spans="1:6" x14ac:dyDescent="0.25">
      <c r="A12" t="s">
        <v>48</v>
      </c>
      <c r="B12" s="18">
        <f>-(B6-Assumptions!B29)*Assumptions!B11</f>
        <v>-969902703.6836038</v>
      </c>
      <c r="C12" s="18">
        <f>-(C6-B6)*Assumptions!B11</f>
        <v>-859360611.3124318</v>
      </c>
      <c r="D12" s="18">
        <f>-(D6-C6)*Assumptions!B11</f>
        <v>-761417261.206219</v>
      </c>
      <c r="E12" s="18">
        <f>-(E6-D6)*Assumptions!B11</f>
        <v>-674636745.076511</v>
      </c>
      <c r="F12" s="18">
        <f>-(F6-E6)*Assumptions!B11</f>
        <v>-597746808.4797759</v>
      </c>
    </row>
    <row r="13" spans="1:6" x14ac:dyDescent="0.25">
      <c r="A13" s="19" t="s">
        <v>49</v>
      </c>
      <c r="B13" s="20">
        <f>B9+B10+B11+B12</f>
        <v>4081098504.2807765</v>
      </c>
      <c r="C13" s="20">
        <f>C9+C10+C11+C12</f>
        <v>3615966108.9150424</v>
      </c>
      <c r="D13" s="20">
        <f>D9+D10+D11+D12</f>
        <v>3203845946.6506996</v>
      </c>
      <c r="E13" s="20">
        <f>E9+E10+E11+E12</f>
        <v>2838696088.5952497</v>
      </c>
      <c r="F13" s="20">
        <f>F9+F10+F11+F12</f>
        <v>2515163218.702823</v>
      </c>
    </row>
    <row r="14" spans="1:6" x14ac:dyDescent="0.25">
      <c r="A14" t="s">
        <v>50</v>
      </c>
      <c r="B14" s="21">
        <f>1/(1+Assumptions!$B$26)^(1-0.5*Assumptions!$B$32)</f>
        <v>0.9601981798652736</v>
      </c>
      <c r="C14" s="21">
        <f>1/(1+Assumptions!$B$26)^(2-0.5*Assumptions!$B$32)</f>
        <v>0.8852840408120375</v>
      </c>
      <c r="D14" s="21">
        <f>1/(1+Assumptions!$B$26)^(3-0.5*Assumptions!$B$32)</f>
        <v>0.8162146620882524</v>
      </c>
      <c r="E14" s="21">
        <f>1/(1+Assumptions!$B$26)^(4-0.5*Assumptions!$B$32)</f>
        <v>0.7525340386761682</v>
      </c>
      <c r="F14" s="21">
        <f>1/(1+Assumptions!$B$26)^(5-0.5*Assumptions!$B$32)</f>
        <v>0.693821742821171</v>
      </c>
    </row>
    <row r="15" spans="1:6" x14ac:dyDescent="0.25">
      <c r="A15" s="19" t="s">
        <v>51</v>
      </c>
      <c r="B15" s="20">
        <f>B13*B14</f>
        <v>3918663355.661292</v>
      </c>
      <c r="C15" s="20">
        <f>C13*C14</f>
        <v>3201157088.339689</v>
      </c>
      <c r="D15" s="20">
        <f>D13*D14</f>
        <v>2615026036.728318</v>
      </c>
      <c r="E15" s="20">
        <f>E13*E14</f>
        <v>2136215432.124825</v>
      </c>
      <c r="F15" s="20">
        <f>F13*F14</f>
        <v>1745074927.880099</v>
      </c>
    </row>
    <row r="17" spans="1:2" x14ac:dyDescent="0.25">
      <c r="A17" s="22" t="s">
        <v>52</v>
      </c>
      <c r="B17" s="23">
        <f>SUM(B15:F15)</f>
        <v>13616136840.73422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2515163218.702823</v>
      </c>
    </row>
    <row r="5" spans="1:2" x14ac:dyDescent="0.25">
      <c r="A5" t="s">
        <v>56</v>
      </c>
      <c r="B5" s="18">
        <f>IF(Assumptions!$B$33=0,B4,B4-Forecast!F11-Forecast!F10-Forecast!F12)</f>
        <v>3112910027.182599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0.14427729060152936</v>
      </c>
    </row>
    <row r="7" spans="1:2" x14ac:dyDescent="0.25">
      <c r="A7" t="s">
        <v>58</v>
      </c>
      <c r="B7" s="18">
        <f>-MAX(Forecast!F9,0)*B6</f>
        <v>-449122224.6082385</v>
      </c>
    </row>
    <row r="8" spans="1:2" x14ac:dyDescent="0.25">
      <c r="A8" t="s">
        <v>59</v>
      </c>
      <c r="B8" s="18">
        <f>IF(OR(Assumptions!$B$33=0,Assumptions!B12&lt;=0),B5,MAX(B5+B7,0))</f>
        <v>2663787802.5743604</v>
      </c>
    </row>
    <row r="9" spans="1:2" x14ac:dyDescent="0.25">
      <c r="A9" t="s">
        <v>60</v>
      </c>
      <c r="B9" s="18">
        <f>B8*(1+Assumptions!B12)/(Assumptions!B26-Assumptions!B12)</f>
        <v>45795201181.2011</v>
      </c>
    </row>
    <row r="10" spans="1:2" x14ac:dyDescent="0.25">
      <c r="A10" t="s">
        <v>61</v>
      </c>
      <c r="B10" s="18">
        <f>B9/(1+Assumptions!B26)^(5-0.5*Assumptions!B32)</f>
        <v>31773706296.3871</v>
      </c>
    </row>
    <row r="11" spans="1:2" x14ac:dyDescent="0.25">
      <c r="A11" t="s">
        <v>62</v>
      </c>
      <c r="B11" s="18">
        <f>Forecast!B17+B10</f>
        <v>45389843137.12132</v>
      </c>
    </row>
    <row r="12" spans="1:2" x14ac:dyDescent="0.25">
      <c r="A12" t="s">
        <v>63</v>
      </c>
      <c r="B12" s="18">
        <f>-Assumptions!B30</f>
        <v>-7015000000</v>
      </c>
    </row>
    <row r="13" spans="1:2" x14ac:dyDescent="0.25">
      <c r="A13" t="s">
        <v>64</v>
      </c>
      <c r="B13" s="18">
        <f>B11+B12</f>
        <v>38374843137.12132</v>
      </c>
    </row>
    <row r="14" spans="1:2" x14ac:dyDescent="0.25">
      <c r="A14" s="19" t="s">
        <v>65</v>
      </c>
      <c r="B14" s="24">
        <f>B13/Assumptions!B31</f>
        <v>124.1904308644703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5276528313.252576</v>
      </c>
    </row>
    <row r="18" spans="1:2" x14ac:dyDescent="0.25">
      <c r="A18" t="s">
        <v>60</v>
      </c>
      <c r="B18" s="18">
        <f>B17*Assumptions!B13</f>
        <v>89008503933.2227</v>
      </c>
    </row>
    <row r="19" spans="1:2" x14ac:dyDescent="0.25">
      <c r="A19" t="s">
        <v>61</v>
      </c>
      <c r="B19" s="18">
        <f>B18/(1+Assumptions!B26)^(5-0.5*Assumptions!B32)</f>
        <v>61756035324.85363</v>
      </c>
    </row>
    <row r="20" spans="1:2" x14ac:dyDescent="0.25">
      <c r="A20" t="s">
        <v>62</v>
      </c>
      <c r="B20" s="18">
        <f>Forecast!B17+B19</f>
        <v>75372172165.58784</v>
      </c>
    </row>
    <row r="21" spans="1:2" x14ac:dyDescent="0.25">
      <c r="A21" t="s">
        <v>63</v>
      </c>
      <c r="B21" s="18">
        <f>-Assumptions!B30</f>
        <v>-7015000000</v>
      </c>
    </row>
    <row r="22" spans="1:2" x14ac:dyDescent="0.25">
      <c r="A22" t="s">
        <v>64</v>
      </c>
      <c r="B22" s="18">
        <f>B20+B21</f>
        <v>68357172165.587845</v>
      </c>
    </row>
    <row r="23" spans="1:2" x14ac:dyDescent="0.25">
      <c r="A23" s="19" t="s">
        <v>65</v>
      </c>
      <c r="B23" s="25">
        <f>B22/Assumptions!B31</f>
        <v>221.2206218951063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413.28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124.1904308644703</v>
      </c>
    </row>
    <row r="29" spans="1:2" x14ac:dyDescent="0.25">
      <c r="A29" s="19" t="s">
        <v>73</v>
      </c>
      <c r="B29" s="12">
        <f>B28/B26-1</f>
        <v>-0.699500506038351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0.064622</v>
      </c>
      <c r="B5" s="31">
        <v>165.13945851916165</v>
      </c>
      <c r="C5" s="31">
        <v>176.81601326728344</v>
      </c>
      <c r="D5" s="31">
        <v>191.3842054076089</v>
      </c>
      <c r="E5" s="31">
        <v>210.09683838543475</v>
      </c>
      <c r="F5" s="31">
        <v>235.05257578061722</v>
      </c>
    </row>
    <row r="6" spans="1:6" x14ac:dyDescent="0.25">
      <c r="A6" s="30">
        <v>0.074622</v>
      </c>
      <c r="B6" s="31">
        <v>135.54977110531888</v>
      </c>
      <c r="C6" s="31">
        <v>142.6052731538063</v>
      </c>
      <c r="D6" s="31">
        <v>151.04024966669468</v>
      </c>
      <c r="E6" s="31">
        <v>161.31842071403943</v>
      </c>
      <c r="F6" s="31">
        <v>174.13757838147097</v>
      </c>
    </row>
    <row r="7" spans="1:6" x14ac:dyDescent="0.25">
      <c r="A7" s="30">
        <v>0.084622</v>
      </c>
      <c r="B7" s="31">
        <v>114.44188433671363</v>
      </c>
      <c r="C7" s="31">
        <v>118.95419782745374</v>
      </c>
      <c r="D7" s="32">
        <v>124.18950350604342</v>
      </c>
      <c r="E7" s="31">
        <v>130.34634560040823</v>
      </c>
      <c r="F7" s="31">
        <v>137.70329100097223</v>
      </c>
    </row>
    <row r="8" spans="1:6" x14ac:dyDescent="0.25">
      <c r="A8" s="30">
        <v>0.094622</v>
      </c>
      <c r="B8" s="31">
        <v>98.62027187101148</v>
      </c>
      <c r="C8" s="31">
        <v>101.6182034558392</v>
      </c>
      <c r="D8" s="31">
        <v>105.01893904441474</v>
      </c>
      <c r="E8" s="31">
        <v>108.9159771365714</v>
      </c>
      <c r="F8" s="31">
        <v>113.4341799904305</v>
      </c>
    </row>
    <row r="9" spans="1:6" x14ac:dyDescent="0.25">
      <c r="A9" s="30">
        <v>0.104622</v>
      </c>
      <c r="B9" s="31">
        <v>86.31563644426114</v>
      </c>
      <c r="C9" s="31">
        <v>88.35906160416182</v>
      </c>
      <c r="D9" s="31">
        <v>90.63579610539855</v>
      </c>
      <c r="E9" s="31">
        <v>93.19273818334487</v>
      </c>
      <c r="F9" s="31">
        <v>96.09025831932342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122687000000</v>
      </c>
      <c r="C5" s="18">
        <v>129881000000</v>
      </c>
      <c r="D5" s="18">
        <v>144766000000</v>
      </c>
      <c r="E5" s="18">
        <v>176383000000</v>
      </c>
      <c r="F5" s="8" t="s">
        <v>84</v>
      </c>
    </row>
    <row r="6" spans="1:6" x14ac:dyDescent="0.25">
      <c r="A6" t="s">
        <v>44</v>
      </c>
      <c r="B6" s="18">
        <v>4312000000</v>
      </c>
      <c r="C6" s="18">
        <v>3755000000</v>
      </c>
      <c r="D6" s="18">
        <v>11858000000</v>
      </c>
      <c r="E6" s="18">
        <v>15751000000</v>
      </c>
      <c r="F6" s="8" t="s">
        <v>85</v>
      </c>
    </row>
    <row r="7" spans="1:6" x14ac:dyDescent="0.25">
      <c r="A7" t="s">
        <v>86</v>
      </c>
      <c r="B7" s="18">
        <v>3158000000</v>
      </c>
      <c r="C7" s="18">
        <v>2774000000</v>
      </c>
      <c r="D7" s="18">
        <v>2701000000</v>
      </c>
      <c r="E7" s="18">
        <v>2473000000</v>
      </c>
      <c r="F7" s="8" t="s">
        <v>87</v>
      </c>
    </row>
    <row r="8" spans="1:6" x14ac:dyDescent="0.25">
      <c r="A8" t="s">
        <v>88</v>
      </c>
      <c r="B8" s="18">
        <v>796000000</v>
      </c>
      <c r="C8" s="18">
        <v>907000000</v>
      </c>
      <c r="D8" s="18">
        <v>911000000</v>
      </c>
      <c r="E8" s="18">
        <v>1681000000</v>
      </c>
      <c r="F8" s="8" t="s">
        <v>89</v>
      </c>
    </row>
    <row r="9" spans="1:6" x14ac:dyDescent="0.25">
      <c r="A9" t="s">
        <v>90</v>
      </c>
      <c r="B9" s="18">
        <v>499000000</v>
      </c>
      <c r="C9" s="18">
        <v>-512000000</v>
      </c>
      <c r="D9" s="18">
        <v>2663000000</v>
      </c>
      <c r="E9" s="18">
        <v>1875000000</v>
      </c>
      <c r="F9" s="8" t="s">
        <v>91</v>
      </c>
    </row>
    <row r="10" spans="1:6" x14ac:dyDescent="0.25">
      <c r="A10" t="s">
        <v>92</v>
      </c>
      <c r="B10" s="18">
        <v>11703000000</v>
      </c>
      <c r="C10" s="18">
        <v>11540000000</v>
      </c>
      <c r="D10" s="18">
        <v>12637000000</v>
      </c>
      <c r="E10" s="18">
        <v>12722000000</v>
      </c>
      <c r="F10" s="8" t="s">
        <v>93</v>
      </c>
    </row>
    <row r="11" spans="1:6" x14ac:dyDescent="0.25">
      <c r="A11" t="s">
        <v>94</v>
      </c>
      <c r="B11" s="18">
        <v>4688000000</v>
      </c>
      <c r="C11" s="18">
        <v>4657000000</v>
      </c>
      <c r="D11" s="18">
        <v>5424000000</v>
      </c>
      <c r="E11" s="18">
        <v>4862000000</v>
      </c>
      <c r="F11" s="8" t="s">
        <v>95</v>
      </c>
    </row>
    <row r="12" spans="1:6" x14ac:dyDescent="0.25">
      <c r="A12" t="s">
        <v>32</v>
      </c>
      <c r="B12" s="34">
        <v>309000000</v>
      </c>
      <c r="C12" s="34">
        <v>322000000</v>
      </c>
      <c r="D12" s="34">
        <v>353000000</v>
      </c>
      <c r="E12" s="34">
        <v>396000000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