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<sst xmlns="http://schemas.openxmlformats.org/spreadsheetml/2006/main" count="112" uniqueCount="100">
  <si>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Veralto Corporation (VLTO)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</si>
  <si>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</si>
  <si>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</si>
  <si>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</si>
  <si>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</si>
  <si>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</si>
  <si>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</si>
  <si>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</si>
  <si>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</si>
  <si>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</si>
  <si>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</si>
  <si>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</si>
  <si>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</si>
  <si>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</si>
  <si>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</si>
  <si>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</si>
  <si>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</si>
  <si>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</si>
  <si>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</si>
  <si>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</si>
  <si>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</si>
  <si>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</si>
  <si>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</si>
  <si>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</si>
  <si>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</si>
  <si>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</si>
  <si>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</si>
  <si>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</si>
  <si>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</si>
  <si>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</si>
  <si>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</si>
  <si>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</si>
  <si>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</si>
  <si>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</si>
  <si>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</si>
  <si>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</si>
  <si>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</si>
  <si>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</si>
  <si>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</si>
  <si>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</si>
  <si>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</si>
  <si>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</si>
  <si>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</si>
  <si>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</si>
  <si>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</si>
  <si>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</si>
  <si>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</si>
  <si>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</si>
  <si>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</si>
  <si>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</si>
  <si>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</si>
  <si>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</si>
  <si>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</si>
  <si>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</si>
  <si>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</si>
  <si>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</si>
  <si>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</si>
  <si>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</si>
  <si>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</si>
  <si>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</si>
  <si>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</si>
  <si>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</si>
  <si>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</si>
  <si>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</si>
  <si>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</si>
  <si>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</si>
  <si>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</si>
  <si>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</si>
  <si>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</si>
  <si>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</si>
  <si>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</si>
  <si>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</si>
  <si>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</si>
  <si>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</si>
  <si>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</si>
  <si>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</si>
  <si>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</si>
  <si>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</si>
  <si>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</si>
  <si>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</si>
  <si>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</si>
  <si>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</si>
  <si>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</si>
  <si>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</si>
  <si>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</si>
  <si>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</si>
  <si>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</si>
  <si>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</si>
  <si>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</si>
  <si>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</si>
  <si>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</si>
  <si>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</si>
  <si>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</si>
  <si>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</si>
  <si>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</si>
  <si>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</si>
  <si>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</si>
  <si>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</si>
  <si>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0.99%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</si>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</sst>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0.0415741282156441</v>
      </c>
    </row>
    <row r="7" spans="1:2" x14ac:dyDescent="0.25">
      <c r="A7" t="s">
        <v>5</v>
      </c>
      <c r="B7" s="6">
        <v>0.23001480977019279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0.016250506213349843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0.2185430463576159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17.626592637638378</v>
      </c>
    </row>
    <row r="14" spans="1:3" x14ac:dyDescent="0.25">
      <c r="A14" t="s">
        <v>12</v>
      </c>
      <c r="B14" s="6">
        <v>0.21514102398433338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0.83853</v>
      </c>
      <c r="C19" s="8" t="s">
        <v>19</v>
      </c>
    </row>
    <row r="20" spans="1:2" x14ac:dyDescent="0.25">
      <c r="A20" t="s">
        <v>20</v>
      </c>
      <c r="B20" s="10">
        <f>B17+B19*B18</f>
        <v>0.09609915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23036033024</v>
      </c>
    </row>
    <row r="23" spans="1:2" x14ac:dyDescent="0.25">
      <c r="A23" t="s">
        <v>24</v>
      </c>
      <c r="B23" s="11">
        <v>2879000000</v>
      </c>
    </row>
    <row r="24" spans="1:2" x14ac:dyDescent="0.25">
      <c r="A24" t="s">
        <v>25</v>
      </c>
      <c r="B24" s="10">
        <f>B22/(B22+B23)</f>
        <v>0.8889061805426315</v>
      </c>
    </row>
    <row r="25" spans="1:2" x14ac:dyDescent="0.25">
      <c r="A25" t="s">
        <v>26</v>
      </c>
      <c r="B25" s="10">
        <f>1-B24</f>
        <v>0.11109381945736851</v>
      </c>
    </row>
    <row r="26" spans="1:2" x14ac:dyDescent="0.25">
      <c r="A26" t="s">
        <v>27</v>
      </c>
      <c r="B26" s="12">
        <f>B24*B20+B25*B21*(1-B8)</f>
        <v>0.08980957896611205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5503000000</v>
      </c>
      <c r="C29" s="8" t="s">
        <v>30</v>
      </c>
    </row>
    <row r="30" spans="1:2" x14ac:dyDescent="0.25">
      <c r="A30" t="s">
        <v>31</v>
      </c>
      <c r="B30" s="11">
        <v>848000000</v>
      </c>
    </row>
    <row r="31" spans="1:2" x14ac:dyDescent="0.25">
      <c r="A31" t="s">
        <v>32</v>
      </c>
      <c r="B31" s="13">
        <v>250300000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0.0415741282156441</v>
      </c>
      <c r="C5" s="10">
        <f>Assumptions!B6</f>
        <v>0.0415741282156441</v>
      </c>
      <c r="D5" s="10">
        <f>Assumptions!B6</f>
        <v>0.0415741282156441</v>
      </c>
      <c r="E5" s="10">
        <f>Assumptions!B6</f>
        <v>0.0415741282156441</v>
      </c>
      <c r="F5" s="10">
        <f>Assumptions!B6</f>
        <v>0.0415741282156441</v>
      </c>
    </row>
    <row r="6" spans="1:6" x14ac:dyDescent="0.25">
      <c r="A6" t="s">
        <v>43</v>
      </c>
      <c r="B6" s="18">
        <f>Assumptions!B29*(1+B5)</f>
        <v>5731782427.570689</v>
      </c>
      <c r="C6" s="18">
        <f>B6*(1+C5)</f>
        <v>5970076285.118689</v>
      </c>
      <c r="D6" s="18">
        <f>C6*(1+D5)</f>
        <v>6218277002.05339</v>
      </c>
      <c r="E6" s="18">
        <f>D6*(1+E5)</f>
        <v>6476796447.417149</v>
      </c>
      <c r="F6" s="18">
        <f>E6*(1+F5)</f>
        <v>6746063613.348698</v>
      </c>
    </row>
    <row r="7" spans="1:6" x14ac:dyDescent="0.25">
      <c r="A7" t="s">
        <v>5</v>
      </c>
      <c r="B7" s="10">
        <f>Assumptions!B7</f>
        <v>0.23001480977019279</v>
      </c>
      <c r="C7" s="10">
        <f>Assumptions!B7</f>
        <v>0.23001480977019279</v>
      </c>
      <c r="D7" s="10">
        <f>Assumptions!B7</f>
        <v>0.23001480977019279</v>
      </c>
      <c r="E7" s="10">
        <f>Assumptions!B7</f>
        <v>0.23001480977019279</v>
      </c>
      <c r="F7" s="10">
        <f>Assumptions!B7</f>
        <v>0.23001480977019279</v>
      </c>
    </row>
    <row r="8" spans="1:6" x14ac:dyDescent="0.25">
      <c r="A8" t="s">
        <v>44</v>
      </c>
      <c r="B8" s="18">
        <f>B6*B7</f>
        <v>1318394844.7218058</v>
      </c>
      <c r="C8" s="18">
        <f>C6*C7</f>
        <v>1373205961.0351143</v>
      </c>
      <c r="D8" s="18">
        <f>D6*D7</f>
        <v>1430295801.725675</v>
      </c>
      <c r="E8" s="18">
        <f>E6*E7</f>
        <v>1489759102.7729158</v>
      </c>
      <c r="F8" s="18">
        <f>F6*F7</f>
        <v>1551694538.7220201</v>
      </c>
    </row>
    <row r="9" spans="1:6" x14ac:dyDescent="0.25">
      <c r="A9" t="s">
        <v>45</v>
      </c>
      <c r="B9" s="18">
        <f>B8*(1-Assumptions!B8)</f>
        <v>1041531927.3302267</v>
      </c>
      <c r="C9" s="18">
        <f>C8*(1-Assumptions!B8)</f>
        <v>1084832709.2177403</v>
      </c>
      <c r="D9" s="18">
        <f>D8*(1-Assumptions!B8)</f>
        <v>1129933683.3632834</v>
      </c>
      <c r="E9" s="18">
        <f>E8*(1-Assumptions!B8)</f>
        <v>1176909691.1906035</v>
      </c>
      <c r="F9" s="18">
        <f>F8*(1-Assumptions!B8)</f>
        <v>1225838685.590396</v>
      </c>
    </row>
    <row r="10" spans="1:6" x14ac:dyDescent="0.25">
      <c r="A10" t="s">
        <v>46</v>
      </c>
      <c r="B10" s="18">
        <f>B6*Assumptions!B9</f>
        <v>93144365.95280693</v>
      </c>
      <c r="C10" s="18">
        <f>C6*Assumptions!B9</f>
        <v>97016761.7654938</v>
      </c>
      <c r="D10" s="18">
        <f>D6*Assumptions!B9</f>
        <v>101050149.05819903</v>
      </c>
      <c r="E10" s="18">
        <f>E6*Assumptions!B9</f>
        <v>105251220.91135456</v>
      </c>
      <c r="F10" s="18">
        <f>F6*Assumptions!B9</f>
        <v>109626948.6643763</v>
      </c>
    </row>
    <row r="11" spans="1:6" x14ac:dyDescent="0.25">
      <c r="A11" t="s">
        <v>47</v>
      </c>
      <c r="B11" s="18">
        <f>-B6*Assumptions!B10</f>
        <v>-57317824.275706895</v>
      </c>
      <c r="C11" s="18">
        <f>-C6*Assumptions!B10</f>
        <v>-59700762.85118689</v>
      </c>
      <c r="D11" s="18">
        <f>-D6*Assumptions!B10</f>
        <v>-62182770.0205339</v>
      </c>
      <c r="E11" s="18">
        <f>-E6*Assumptions!B10</f>
        <v>-64767964.47417149</v>
      </c>
      <c r="F11" s="18">
        <f>-F6*Assumptions!B10</f>
        <v>-67460636.13348697</v>
      </c>
    </row>
    <row r="12" spans="1:6" x14ac:dyDescent="0.25">
      <c r="A12" t="s">
        <v>48</v>
      </c>
      <c r="B12" s="18">
        <f>-(B6-Assumptions!B29)*Assumptions!B11</f>
        <v>-49998808.674389035</v>
      </c>
      <c r="C12" s="18">
        <f>-(C6-B6)*Assumptions!B11</f>
        <v>-52077465.55684755</v>
      </c>
      <c r="D12" s="18">
        <f>-(D6-C6)*Assumptions!B11</f>
        <v>-54242540.78705385</v>
      </c>
      <c r="E12" s="18">
        <f>-(E6-D6)*Assumptions!B11</f>
        <v>-56497627.13247714</v>
      </c>
      <c r="F12" s="18">
        <f>-(F6-E6)*Assumptions!B11</f>
        <v>-58846466.726762384</v>
      </c>
    </row>
    <row r="13" spans="1:6" x14ac:dyDescent="0.25">
      <c r="A13" s="19" t="s">
        <v>49</v>
      </c>
      <c r="B13" s="20">
        <f>B9+B10+B11+B12</f>
        <v>1027359660.3329376</v>
      </c>
      <c r="C13" s="20">
        <f>C9+C10+C11+C12</f>
        <v>1070071242.5751996</v>
      </c>
      <c r="D13" s="20">
        <f>D9+D10+D11+D12</f>
        <v>1114558521.6138947</v>
      </c>
      <c r="E13" s="20">
        <f>E9+E10+E11+E12</f>
        <v>1160895320.4953096</v>
      </c>
      <c r="F13" s="20">
        <f>F9+F10+F11+F12</f>
        <v>1209158531.394523</v>
      </c>
    </row>
    <row r="14" spans="1:6" x14ac:dyDescent="0.25">
      <c r="A14" t="s">
        <v>50</v>
      </c>
      <c r="B14" s="21">
        <f>1/(1+Assumptions!$B$26)^(1-0.5*Assumptions!$B$32)</f>
        <v>0.9579099614470391</v>
      </c>
      <c r="C14" s="21">
        <f>1/(1+Assumptions!$B$26)^(2-0.5*Assumptions!$B$32)</f>
        <v>0.8789700328710596</v>
      </c>
      <c r="D14" s="21">
        <f>1/(1+Assumptions!$B$26)^(3-0.5*Assumptions!$B$32)</f>
        <v>0.8065354258538697</v>
      </c>
      <c r="E14" s="21">
        <f>1/(1+Assumptions!$B$26)^(4-0.5*Assumptions!$B$32)</f>
        <v>0.7400700465663178</v>
      </c>
      <c r="F14" s="21">
        <f>1/(1+Assumptions!$B$26)^(5-0.5*Assumptions!$B$32)</f>
        <v>0.6790819798706601</v>
      </c>
    </row>
    <row r="15" spans="1:6" x14ac:dyDescent="0.25">
      <c r="A15" s="19" t="s">
        <v>51</v>
      </c>
      <c r="B15" s="20">
        <f>B13*B14</f>
        <v>984118052.6217674</v>
      </c>
      <c r="C15" s="20">
        <f>C13*C14</f>
        <v>940560555.2606988</v>
      </c>
      <c r="D15" s="20">
        <f>D13*D14</f>
        <v>898930931.868922</v>
      </c>
      <c r="E15" s="20">
        <f>E13*E14</f>
        <v>859143853.8975842</v>
      </c>
      <c r="F15" s="20">
        <f>F13*F14</f>
        <v>821117769.4768924</v>
      </c>
    </row>
    <row r="17" spans="1:2" x14ac:dyDescent="0.25">
      <c r="A17" s="22" t="s">
        <v>52</v>
      </c>
      <c r="B17" s="23">
        <f>SUM(B15:F15)</f>
        <v>4503871163.125865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1209158531.394523</v>
      </c>
    </row>
    <row r="5" spans="1:2" x14ac:dyDescent="0.25">
      <c r="A5" t="s">
        <v>56</v>
      </c>
      <c r="B5" s="18">
        <f>IF(Assumptions!$B$33=0,B4,B4-Forecast!F11-Forecast!F10-Forecast!F12)</f>
        <v>1270720436.3072863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0.11620284935438677</v>
      </c>
    </row>
    <row r="7" spans="1:2" x14ac:dyDescent="0.25">
      <c r="A7" t="s">
        <v>58</v>
      </c>
      <c r="B7" s="18">
        <f>-MAX(Forecast!F9,0)*B6</f>
        <v>-147661335.4317562</v>
      </c>
    </row>
    <row r="8" spans="1:2" x14ac:dyDescent="0.25">
      <c r="A8" t="s">
        <v>59</v>
      </c>
      <c r="B8" s="18">
        <f>IF(OR(Assumptions!$B$33=0,Assumptions!B12&lt;=0),B5,MAX(B5+B7,0))</f>
        <v>1123059100.87553</v>
      </c>
    </row>
    <row r="9" spans="1:2" x14ac:dyDescent="0.25">
      <c r="A9" t="s">
        <v>60</v>
      </c>
      <c r="B9" s="18">
        <f>B8*(1+Assumptions!B12)/(Assumptions!B26-Assumptions!B12)</f>
        <v>17761812324.059837</v>
      </c>
    </row>
    <row r="10" spans="1:2" x14ac:dyDescent="0.25">
      <c r="A10" t="s">
        <v>61</v>
      </c>
      <c r="B10" s="18">
        <f>B9/(1+Assumptions!B26)^(5-0.5*Assumptions!B32)</f>
        <v>12061726679.113646</v>
      </c>
    </row>
    <row r="11" spans="1:2" x14ac:dyDescent="0.25">
      <c r="A11" t="s">
        <v>62</v>
      </c>
      <c r="B11" s="18">
        <f>Forecast!B17+B10</f>
        <v>16565597842.23951</v>
      </c>
    </row>
    <row r="12" spans="1:2" x14ac:dyDescent="0.25">
      <c r="A12" t="s">
        <v>63</v>
      </c>
      <c r="B12" s="18">
        <f>-Assumptions!B30</f>
        <v>-848000000</v>
      </c>
    </row>
    <row r="13" spans="1:2" x14ac:dyDescent="0.25">
      <c r="A13" t="s">
        <v>64</v>
      </c>
      <c r="B13" s="18">
        <f>B11+B12</f>
        <v>15717597842.23951</v>
      </c>
    </row>
    <row r="14" spans="1:2" x14ac:dyDescent="0.25">
      <c r="A14" s="19" t="s">
        <v>65</v>
      </c>
      <c r="B14" s="24">
        <f>B13/Assumptions!B31</f>
        <v>62.79503732416904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1661321487.3863964</v>
      </c>
    </row>
    <row r="18" spans="1:2" x14ac:dyDescent="0.25">
      <c r="A18" t="s">
        <v>60</v>
      </c>
      <c r="B18" s="18">
        <f>B17*Assumptions!B13</f>
        <v>29283437098.315495</v>
      </c>
    </row>
    <row r="19" spans="1:2" x14ac:dyDescent="0.25">
      <c r="A19" t="s">
        <v>61</v>
      </c>
      <c r="B19" s="18">
        <f>B18/(1+Assumptions!B26)^(5-0.5*Assumptions!B32)</f>
        <v>19885854442.142025</v>
      </c>
    </row>
    <row r="20" spans="1:2" x14ac:dyDescent="0.25">
      <c r="A20" t="s">
        <v>62</v>
      </c>
      <c r="B20" s="18">
        <f>Forecast!B17+B19</f>
        <v>24389725605.26789</v>
      </c>
    </row>
    <row r="21" spans="1:2" x14ac:dyDescent="0.25">
      <c r="A21" t="s">
        <v>63</v>
      </c>
      <c r="B21" s="18">
        <f>-Assumptions!B30</f>
        <v>-848000000</v>
      </c>
    </row>
    <row r="22" spans="1:2" x14ac:dyDescent="0.25">
      <c r="A22" t="s">
        <v>64</v>
      </c>
      <c r="B22" s="18">
        <f>B20+B21</f>
        <v>23541725605.26789</v>
      </c>
    </row>
    <row r="23" spans="1:2" x14ac:dyDescent="0.25">
      <c r="A23" s="19" t="s">
        <v>65</v>
      </c>
      <c r="B23" s="25">
        <f>B22/Assumptions!B31</f>
        <v>94.05403757598039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94.49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62.79503732416904</v>
      </c>
    </row>
    <row r="29" spans="1:2" x14ac:dyDescent="0.25">
      <c r="A29" s="19" t="s">
        <v>73</v>
      </c>
      <c r="B29" s="12">
        <f>B28/B26-1</f>
        <v>-0.3354319258739651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0.06981</v>
      </c>
      <c r="B5" s="31">
        <v>79.98841710799996</v>
      </c>
      <c r="C5" s="31">
        <v>85.03508169310096</v>
      </c>
      <c r="D5" s="31">
        <v>91.18854767297026</v>
      </c>
      <c r="E5" s="31">
        <v>98.86584646990192</v>
      </c>
      <c r="F5" s="31">
        <v>108.72361388556017</v>
      </c>
    </row>
    <row r="6" spans="1:6" x14ac:dyDescent="0.25">
      <c r="A6" s="30">
        <v>0.07981</v>
      </c>
      <c r="B6" s="31">
        <v>67.3672338071043</v>
      </c>
      <c r="C6" s="31">
        <v>70.59923647699149</v>
      </c>
      <c r="D6" s="31">
        <v>74.4056755735629</v>
      </c>
      <c r="E6" s="31">
        <v>78.95953938030102</v>
      </c>
      <c r="F6" s="31">
        <v>84.51102585865425</v>
      </c>
    </row>
    <row r="7" spans="1:6" x14ac:dyDescent="0.25">
      <c r="A7" s="30">
        <v>0.08981</v>
      </c>
      <c r="B7" s="31">
        <v>58.12002914716252</v>
      </c>
      <c r="C7" s="31">
        <v>60.29566090397498</v>
      </c>
      <c r="D7" s="32">
        <v>62.79462373968019</v>
      </c>
      <c r="E7" s="31">
        <v>65.69800720758688</v>
      </c>
      <c r="F7" s="31">
        <v>69.11649018897619</v>
      </c>
    </row>
    <row r="8" spans="1:6" x14ac:dyDescent="0.25">
      <c r="A8" s="30">
        <v>0.09981</v>
      </c>
      <c r="B8" s="31">
        <v>51.053323836116284</v>
      </c>
      <c r="C8" s="31">
        <v>52.571226639702864</v>
      </c>
      <c r="D8" s="31">
        <v>54.28175159614786</v>
      </c>
      <c r="E8" s="31">
        <v>56.226287221321165</v>
      </c>
      <c r="F8" s="31">
        <v>58.458994293357684</v>
      </c>
    </row>
    <row r="9" spans="1:6" x14ac:dyDescent="0.25">
      <c r="A9" s="30">
        <v>0.10981</v>
      </c>
      <c r="B9" s="31">
        <v>45.4771620860088</v>
      </c>
      <c r="C9" s="31">
        <v>46.56453474742449</v>
      </c>
      <c r="D9" s="31">
        <v>47.771415172589876</v>
      </c>
      <c r="E9" s="31">
        <v>49.12026441220343</v>
      </c>
      <c r="F9" s="31">
        <v>50.639548342708444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5503000000</v>
      </c>
      <c r="C5" s="18">
        <v>5193000000</v>
      </c>
      <c r="D5" s="18">
        <v>5021000000</v>
      </c>
      <c r="E5" s="18">
        <v>4870000000</v>
      </c>
      <c r="F5" s="8" t="s">
        <v>84</v>
      </c>
    </row>
    <row r="6" spans="1:6" x14ac:dyDescent="0.25">
      <c r="A6" t="s">
        <v>44</v>
      </c>
      <c r="B6" s="18">
        <v>1277000000</v>
      </c>
      <c r="C6" s="18">
        <v>1208000000</v>
      </c>
      <c r="D6" s="18">
        <v>1140000000</v>
      </c>
      <c r="E6" s="18">
        <v>1112000000</v>
      </c>
      <c r="F6" s="8" t="s">
        <v>85</v>
      </c>
    </row>
    <row r="7" spans="1:6" x14ac:dyDescent="0.25">
      <c r="A7" t="s">
        <v>86</v>
      </c>
      <c r="B7" s="18">
        <v>78000000</v>
      </c>
      <c r="C7" s="18">
        <v>78000000</v>
      </c>
      <c r="D7" s="18">
        <v>87000000</v>
      </c>
      <c r="E7" s="18">
        <v>90000000</v>
      </c>
      <c r="F7" s="8" t="s">
        <v>87</v>
      </c>
    </row>
    <row r="8" spans="1:6" x14ac:dyDescent="0.25">
      <c r="A8" t="s">
        <v>88</v>
      </c>
      <c r="B8" s="18">
        <v>63000000</v>
      </c>
      <c r="C8" s="18">
        <v>55000000</v>
      </c>
      <c r="D8" s="18">
        <v>54000000</v>
      </c>
      <c r="E8" s="18">
        <v>34000000</v>
      </c>
      <c r="F8" s="8" t="s">
        <v>89</v>
      </c>
    </row>
    <row r="9" spans="1:6" x14ac:dyDescent="0.25">
      <c r="A9" t="s">
        <v>90</v>
      </c>
      <c r="B9" s="18">
        <v>27000000</v>
      </c>
      <c r="C9" s="18">
        <v>116000000</v>
      </c>
      <c r="D9" s="18">
        <v>33000000</v>
      </c>
      <c r="E9" s="18">
        <v>106000000</v>
      </c>
      <c r="F9" s="8" t="s">
        <v>91</v>
      </c>
    </row>
    <row r="10" spans="1:6" x14ac:dyDescent="0.25">
      <c r="A10" t="s">
        <v>92</v>
      </c>
      <c r="B10" s="18">
        <v>2879000000</v>
      </c>
      <c r="C10" s="18">
        <v>2767000000</v>
      </c>
      <c r="D10" s="18">
        <v>2777000000</v>
      </c>
      <c r="E10" s="18">
        <v>123000000</v>
      </c>
      <c r="F10" s="8" t="s">
        <v>93</v>
      </c>
    </row>
    <row r="11" spans="1:6" x14ac:dyDescent="0.25">
      <c r="A11" t="s">
        <v>94</v>
      </c>
      <c r="B11" s="18">
        <v>2031000000</v>
      </c>
      <c r="C11" s="18">
        <v>1101000000</v>
      </c>
      <c r="D11" s="18">
        <v>762000000</v>
      </c>
      <c r="E11" s="18">
        <v>0</v>
      </c>
      <c r="F11" s="8" t="s">
        <v>95</v>
      </c>
    </row>
    <row r="12" spans="1:6" x14ac:dyDescent="0.25">
      <c r="A12" t="s">
        <v>32</v>
      </c>
      <c r="B12" s="34">
        <v>250300000</v>
      </c>
      <c r="C12" s="34">
        <v>249600000</v>
      </c>
      <c r="D12" s="34">
        <v>246800000</v>
      </c>
      <c r="E12" s="34">
        <v>246700000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