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<sst xmlns="http://schemas.openxmlformats.org/spreadsheetml/2006/main" count="121" uniqueCount="108">
  <si>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Veralto Corporation (VLTO)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</si>
  <si>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</si>
  <si>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</si>
  <si>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</si>
  <si>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</si>
  <si>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</si>
  <si>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</si>
  <si>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</si>
  <si>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</si>
  <si>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</si>
  <si>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</si>
  <si>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</si>
  <si>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</si>
  <si>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</si>
  <si>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</si>
  <si>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</si>
  <si>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</si>
  <si>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</si>
  <si>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</si>
  <si>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</si>
  <si>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</si>
  <si>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</si>
  <si>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</si>
  <si>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</si>
  <si>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13.3x interest cover. Book interest / average debt was lower, at 3.4%.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</si>
  <si>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</si>
  <si>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</si>
  <si>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</si>
  <si>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</si>
  <si>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</si>
  <si>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</si>
  <si>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</si>
  <si>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</si>
  <si>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</si>
  <si>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</si>
  <si>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</si>
  <si>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</si>
  <si>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</si>
  <si>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</si>
  <si>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</si>
  <si>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</si>
  <si>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</si>
  <si>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</si>
  <si>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</si>
  <si>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</si>
  <si>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</si>
  <si>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</si>
  <si>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</si>
  <si>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</si>
  <si>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</si>
  <si>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</si>
  <si>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</si>
  <si>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</si>
  <si>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</si>
  <si>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</si>
  <si>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</si>
  <si>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</si>
  <si>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</si>
  <si>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</si>
  <si>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</si>
  <si>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</si>
  <si>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</si>
  <si>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</si>
  <si>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</si>
  <si>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</si>
  <si>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</si>
  <si>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</si>
  <si>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</si>
  <si>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</si>
  <si>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</si>
  <si>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</si>
  <si>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</si>
  <si>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</si>
  <si>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</si>
  <si>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</si>
  <si>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</si>
  <si>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</si>
  <si>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</si>
  <si>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</si>
  <si>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</si>
  <si>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</si>
  <si>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</si>
  <si>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</si>
  <si>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</si>
  <si>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</si>
  <si>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</si>
  <si>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</si>
  <si>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</si>
  <si>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</si>
  <si>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</si>
  <si>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</si>
  <si>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</si>
  <si>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</si>
  <si>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</si>
  <si>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</si>
  <si>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</si>
  <si>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</si>
  <si>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</si>
  <si>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</si>
  <si>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</si>
  <si>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</si>
  <si>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</si>
  <si>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</si>
  <si>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</si>
  <si>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</si>
  <si>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0.99%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</si>
  <si>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Current EV/EBITDA of 20.6x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</si>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</sst>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0.0759910812284208</v>
      </c>
    </row>
    <row r="7" spans="1:2" x14ac:dyDescent="0.25">
      <c r="A7" t="s">
        <v>4</v>
      </c>
      <c r="B7" s="5">
        <v>0.23001480977019279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0.016250506213349843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0.1405078861404308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0.21514102398433338</v>
      </c>
      <c r="C14" s="6" t="s">
        <v>13</v>
      </c>
    </row>
    <row r="15" spans="1:3" x14ac:dyDescent="0.25">
      <c r="A15" t="s">
        <v>14</v>
      </c>
      <c r="B15" s="5">
        <v>0.00782895166897951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0.8492500000000001</v>
      </c>
      <c r="C19" s="6" t="s">
        <v>21</v>
      </c>
    </row>
    <row r="20" spans="1:2" x14ac:dyDescent="0.25">
      <c r="A20" t="s">
        <v>22</v>
      </c>
      <c r="B20" s="9">
        <f>B17+B19*B18</f>
        <v>0.084863275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27013056512</v>
      </c>
    </row>
    <row r="23" spans="1:2" x14ac:dyDescent="0.25">
      <c r="A23" t="s">
        <v>26</v>
      </c>
      <c r="B23" s="10">
        <v>2879000000</v>
      </c>
    </row>
    <row r="24" spans="1:2" x14ac:dyDescent="0.25">
      <c r="A24" t="s">
        <v>27</v>
      </c>
      <c r="B24" s="9">
        <f>B22/(B22+B23)</f>
        <v>0.9036867871956471</v>
      </c>
    </row>
    <row r="25" spans="1:2" x14ac:dyDescent="0.25">
      <c r="A25" t="s">
        <v>28</v>
      </c>
      <c r="B25" s="9">
        <f>1-B24</f>
        <v>0.0963132128043529</v>
      </c>
    </row>
    <row r="26" spans="1:2" x14ac:dyDescent="0.25">
      <c r="A26" t="s">
        <v>29</v>
      </c>
      <c r="B26" s="11">
        <f>B24*B20+B25*B21*(1-B8)</f>
        <v>0.08071788930948201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5503000000</v>
      </c>
      <c r="C29" s="6" t="s">
        <v>32</v>
      </c>
    </row>
    <row r="30" spans="1:2" x14ac:dyDescent="0.25">
      <c r="A30" t="s">
        <v>33</v>
      </c>
      <c r="B30" s="10">
        <v>848000000</v>
      </c>
    </row>
    <row r="31" spans="1:2" x14ac:dyDescent="0.25">
      <c r="A31" t="s">
        <v>34</v>
      </c>
      <c r="B31" s="12">
        <v>250300000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0.0759910812284208</v>
      </c>
      <c r="C5" s="5">
        <v>0.05602106683173824</v>
      </c>
      <c r="D5" s="5">
        <v>0.052143433477770965</v>
      </c>
      <c r="E5" s="5">
        <v>0.04826580012380368</v>
      </c>
      <c r="F5" s="5">
        <v>0.0443881667698364</v>
      </c>
      <c r="G5" s="5">
        <v>0.04051053341586912</v>
      </c>
      <c r="H5" s="5">
        <v>0.03663290006190184</v>
      </c>
      <c r="I5" s="5">
        <v>0.03275526670793456</v>
      </c>
      <c r="J5" s="5">
        <v>0.028877633353967282</v>
      </c>
      <c r="K5" s="5">
        <v>0.025</v>
      </c>
    </row>
    <row r="6" spans="1:11" x14ac:dyDescent="0.25">
      <c r="A6" t="s">
        <v>50</v>
      </c>
      <c r="B6" s="18">
        <f>Assumptions!B29*(1+B5)</f>
        <v>5921178920</v>
      </c>
      <c r="C6" s="18">
        <f>B6*(1+C5)</f>
        <v>6252889680</v>
      </c>
      <c r="D6" s="18">
        <f>C6*(1+D5)</f>
        <v>6578936817.072921</v>
      </c>
      <c r="E6" s="18">
        <f>D6*(1+E5)</f>
        <v>6896474466.512896</v>
      </c>
      <c r="F6" s="18">
        <f>E6*(1+F5)</f>
        <v>7202596325.256389</v>
      </c>
      <c r="G6" s="18">
        <f>F6*(1+G5)</f>
        <v>7494377344.371703</v>
      </c>
      <c r="H6" s="18">
        <f>G6*(1+H5)</f>
        <v>7768918120.654253</v>
      </c>
      <c r="I6" s="18">
        <f>H6*(1+I5)</f>
        <v>8023391105.728388</v>
      </c>
      <c r="J6" s="18">
        <f>I6*(1+J5)</f>
        <v>8255087652.335094</v>
      </c>
      <c r="K6" s="18">
        <f>J6*(1+K5)</f>
        <v>8461464843.643471</v>
      </c>
    </row>
    <row r="7" spans="1:11" x14ac:dyDescent="0.25">
      <c r="A7" t="s">
        <v>4</v>
      </c>
      <c r="B7" s="9">
        <f>Assumptions!B7</f>
        <v>0.23001480977019279</v>
      </c>
      <c r="C7" s="9">
        <f>Assumptions!B7</f>
        <v>0.23001480977019279</v>
      </c>
      <c r="D7" s="9">
        <f>Assumptions!B7</f>
        <v>0.23001480977019279</v>
      </c>
      <c r="E7" s="9">
        <f>Assumptions!B7</f>
        <v>0.23001480977019279</v>
      </c>
      <c r="F7" s="9">
        <f>Assumptions!B7</f>
        <v>0.23001480977019279</v>
      </c>
      <c r="G7" s="9">
        <f>Assumptions!B7</f>
        <v>0.23001480977019279</v>
      </c>
      <c r="H7" s="9">
        <f>Assumptions!B7</f>
        <v>0.23001480977019279</v>
      </c>
      <c r="I7" s="9">
        <f>Assumptions!B7</f>
        <v>0.23001480977019279</v>
      </c>
      <c r="J7" s="9">
        <f>Assumptions!B7</f>
        <v>0.23001480977019279</v>
      </c>
      <c r="K7" s="9">
        <f>Assumptions!B7</f>
        <v>0.23001480977019279</v>
      </c>
    </row>
    <row r="8" spans="1:11" x14ac:dyDescent="0.25">
      <c r="A8" t="s">
        <v>51</v>
      </c>
      <c r="B8" s="18">
        <f>B6*B7</f>
        <v>1361958842.8990755</v>
      </c>
      <c r="C8" s="18">
        <f>C6*C7</f>
        <v>1438257230.2592015</v>
      </c>
      <c r="D8" s="18">
        <f>D6*D7</f>
        <v>1513252900.4691455</v>
      </c>
      <c r="E8" s="18">
        <f>E6*E7</f>
        <v>1586291262.4999554</v>
      </c>
      <c r="F8" s="18">
        <f>F6*F7</f>
        <v>1656703823.6053379</v>
      </c>
      <c r="G8" s="18">
        <f>G6*G7</f>
        <v>1723817779.2117</v>
      </c>
      <c r="H8" s="18">
        <f>H6*H7</f>
        <v>1786966223.6424916</v>
      </c>
      <c r="I8" s="18">
        <f>I6*I7</f>
        <v>1845498778.8959718</v>
      </c>
      <c r="J8" s="18">
        <f>J6*J7</f>
        <v>1898792415.9881241</v>
      </c>
      <c r="K8" s="18">
        <f>K6*K7</f>
        <v>1946262226.387827</v>
      </c>
    </row>
    <row r="9" spans="1:11" x14ac:dyDescent="0.25">
      <c r="A9" t="s">
        <v>52</v>
      </c>
      <c r="B9" s="18">
        <f>B8*(1-Assumptions!B8)</f>
        <v>1075947485.8902698</v>
      </c>
      <c r="C9" s="18">
        <f>C8*(1-Assumptions!B8)</f>
        <v>1136223211.9047692</v>
      </c>
      <c r="D9" s="18">
        <f>D8*(1-Assumptions!B8)</f>
        <v>1195469791.370625</v>
      </c>
      <c r="E9" s="18">
        <f>E8*(1-Assumptions!B8)</f>
        <v>1253170097.374965</v>
      </c>
      <c r="F9" s="18">
        <f>F8*(1-Assumptions!B8)</f>
        <v>1308796020.648217</v>
      </c>
      <c r="G9" s="18">
        <f>G8*(1-Assumptions!B8)</f>
        <v>1361816045.577243</v>
      </c>
      <c r="H9" s="18">
        <f>H8*(1-Assumptions!B8)</f>
        <v>1411703316.6775684</v>
      </c>
      <c r="I9" s="18">
        <f>I8*(1-Assumptions!B8)</f>
        <v>1457944035.3278177</v>
      </c>
      <c r="J9" s="18">
        <f>J8*(1-Assumptions!B8)</f>
        <v>1500046008.630618</v>
      </c>
      <c r="K9" s="18">
        <f>K8*(1-Assumptions!B8)</f>
        <v>1537547158.8463833</v>
      </c>
    </row>
    <row r="10" spans="1:11" x14ac:dyDescent="0.25">
      <c r="A10" t="s">
        <v>53</v>
      </c>
      <c r="B10" s="18">
        <f>B6*Assumptions!B9</f>
        <v>96222154.82981612</v>
      </c>
      <c r="C10" s="18">
        <f>C6*Assumptions!B9</f>
        <v>101612622.5962311</v>
      </c>
      <c r="D10" s="18">
        <f>D6*Assumptions!B9</f>
        <v>106911053.62307954</v>
      </c>
      <c r="E10" s="18">
        <f>E6*Assumptions!B9</f>
        <v>112071201.16827635</v>
      </c>
      <c r="F10" s="18">
        <f>F6*Assumptions!B9</f>
        <v>117045836.33582969</v>
      </c>
      <c r="G10" s="18">
        <f>G6*Assumptions!B9</f>
        <v>121787425.59990065</v>
      </c>
      <c r="H10" s="18">
        <f>H6*Assumptions!B9</f>
        <v>126248852.19069812</v>
      </c>
      <c r="I10" s="18">
        <f>I6*Assumptions!B9</f>
        <v>130384167.01577502</v>
      </c>
      <c r="J10" s="18">
        <f>J6*Assumptions!B9</f>
        <v>134149353.18601902</v>
      </c>
      <c r="K10" s="18">
        <f>K6*Assumptions!B9</f>
        <v>137503087.01566947</v>
      </c>
    </row>
    <row r="11" spans="1:11" x14ac:dyDescent="0.25">
      <c r="A11" t="s">
        <v>54</v>
      </c>
      <c r="B11" s="18">
        <f>-B6*B19</f>
        <v>-59211789.2</v>
      </c>
      <c r="C11" s="18">
        <f>-C6*C19</f>
        <v>-76227914.92963403</v>
      </c>
      <c r="D11" s="18">
        <f>-D6*D19</f>
        <v>-94616032.11110397</v>
      </c>
      <c r="E11" s="18">
        <f>-E6*E19</f>
        <v>-114291753.57566439</v>
      </c>
      <c r="F11" s="18">
        <f>-F6*F19</f>
        <v>-135144618.90754274</v>
      </c>
      <c r="G11" s="18">
        <f>-G6*G19</f>
        <v>-157038306.0237853</v>
      </c>
      <c r="H11" s="18">
        <f>-H6*H19</f>
        <v>-179811453.27178544</v>
      </c>
      <c r="I11" s="18">
        <f>-I6*I19</f>
        <v>-203279111.10143742</v>
      </c>
      <c r="J11" s="18">
        <f>-J6*J19</f>
        <v>-227234824.19991574</v>
      </c>
      <c r="K11" s="18">
        <f>-K6*K19</f>
        <v>-251453325.60097346</v>
      </c>
    </row>
    <row r="12" spans="1:11" x14ac:dyDescent="0.25">
      <c r="A12" t="s">
        <v>55</v>
      </c>
      <c r="B12" s="18">
        <f>-(B6-Assumptions!B29)*Assumptions!B11</f>
        <v>-58757436.07768832</v>
      </c>
      <c r="C12" s="18">
        <f>-(C6-B6)*Assumptions!B11</f>
        <v>-46607977.69763577</v>
      </c>
      <c r="D12" s="18">
        <f>-(D6-C6)*Assumptions!B11</f>
        <v>-45812194.01225539</v>
      </c>
      <c r="E12" s="18">
        <f>-(E6-D6)*Assumptions!B11</f>
        <v>-44616543.892812006</v>
      </c>
      <c r="F12" s="18">
        <f>-(F6-E6)*Assumptions!B11</f>
        <v>-43012535.27342777</v>
      </c>
      <c r="G12" s="18">
        <f>-(G6-F6)*Assumptions!B11</f>
        <v>-40997534.211793475</v>
      </c>
      <c r="H12" s="18">
        <f>-(H6-G6)*Assumptions!B11</f>
        <v>-38575144.134814</v>
      </c>
      <c r="I12" s="18">
        <f>-(I6-H6)*Assumptions!B11</f>
        <v>-35755461.212612085</v>
      </c>
      <c r="J12" s="18">
        <f>-(J6-I6)*Assumptions!B11</f>
        <v>-32555191.989746153</v>
      </c>
      <c r="K12" s="18">
        <f>-(K6-J6)*Assumptions!B11</f>
        <v>-28997622.898339245</v>
      </c>
    </row>
    <row r="13" spans="1:11" x14ac:dyDescent="0.25">
      <c r="A13" s="19" t="s">
        <v>56</v>
      </c>
      <c r="B13" s="20">
        <f>B9+B10+B11+B12</f>
        <v>1054200415.4423975</v>
      </c>
      <c r="C13" s="20">
        <f>C9+C10+C11+C12</f>
        <v>1114999941.8737307</v>
      </c>
      <c r="D13" s="20">
        <f>D9+D10+D11+D12</f>
        <v>1161952618.870345</v>
      </c>
      <c r="E13" s="20">
        <f>E9+E10+E11+E12</f>
        <v>1206333001.074765</v>
      </c>
      <c r="F13" s="20">
        <f>F9+F10+F11+F12</f>
        <v>1247684702.8030763</v>
      </c>
      <c r="G13" s="20">
        <f>G9+G10+G11+G12</f>
        <v>1285567630.941565</v>
      </c>
      <c r="H13" s="20">
        <f>H9+H10+H11+H12</f>
        <v>1319565571.461667</v>
      </c>
      <c r="I13" s="20">
        <f>I9+I10+I11+I12</f>
        <v>1349293630.0295432</v>
      </c>
      <c r="J13" s="20">
        <f>J9+J10+J11+J12</f>
        <v>1374405345.6269753</v>
      </c>
      <c r="K13" s="20">
        <f>K9+K10+K11+K12</f>
        <v>1394599297.3627403</v>
      </c>
    </row>
    <row r="14" spans="1:11" x14ac:dyDescent="0.25">
      <c r="A14" t="s">
        <v>57</v>
      </c>
      <c r="B14" s="21">
        <f>1/(1+Assumptions!$B$26)^(1-0.5*Assumptions!$B$32)</f>
        <v>0.9619307981314802</v>
      </c>
      <c r="C14" s="21">
        <f>1/(1+Assumptions!$B$26)^(2-0.5*Assumptions!$B$32)</f>
        <v>0.8900850144583984</v>
      </c>
      <c r="D14" s="21">
        <f>1/(1+Assumptions!$B$26)^(3-0.5*Assumptions!$B$32)</f>
        <v>0.8236053305521875</v>
      </c>
      <c r="E14" s="21">
        <f>1/(1+Assumptions!$B$26)^(4-0.5*Assumptions!$B$32)</f>
        <v>0.7620909570382195</v>
      </c>
      <c r="F14" s="21">
        <f>1/(1+Assumptions!$B$26)^(5-0.5*Assumptions!$B$32)</f>
        <v>0.7051710391554199</v>
      </c>
      <c r="G14" s="21">
        <f>1/(1+Assumptions!$B$26)^(6-0.5*Assumptions!$B$32)</f>
        <v>0.6525024209657384</v>
      </c>
      <c r="H14" s="21">
        <f>1/(1+Assumptions!$B$26)^(7-0.5*Assumptions!$B$32)</f>
        <v>0.6037675765528883</v>
      </c>
      <c r="I14" s="21">
        <f>1/(1+Assumptions!$B$26)^(8-0.5*Assumptions!$B$32)</f>
        <v>0.5586726957380725</v>
      </c>
      <c r="J14" s="21">
        <f>1/(1+Assumptions!$B$26)^(9-0.5*Assumptions!$B$32)</f>
        <v>0.5169459127719566</v>
      </c>
      <c r="K14" s="21">
        <f>1/(1+Assumptions!$B$26)^(10-0.5*Assumptions!$B$32)</f>
        <v>0.47833566732411176</v>
      </c>
    </row>
    <row r="15" spans="1:11" x14ac:dyDescent="0.25">
      <c r="A15" s="19" t="s">
        <v>58</v>
      </c>
      <c r="B15" s="20">
        <f>B13*B14</f>
        <v>1014067847.0170434</v>
      </c>
      <c r="C15" s="20">
        <f>C13*C14</f>
        <v>992444739.3837929</v>
      </c>
      <c r="D15" s="20">
        <f>D13*D14</f>
        <v>956990370.7506906</v>
      </c>
      <c r="E15" s="20">
        <f>E13*E14</f>
        <v>919335471.295855</v>
      </c>
      <c r="F15" s="20">
        <f>F13*F14</f>
        <v>879831118.4139665</v>
      </c>
      <c r="G15" s="20">
        <f>G13*G14</f>
        <v>838835991.5045601</v>
      </c>
      <c r="H15" s="20">
        <f>H13*H14</f>
        <v>796710907.1840378</v>
      </c>
      <c r="I15" s="20">
        <f>I13*I14</f>
        <v>753813509.6308144</v>
      </c>
      <c r="J15" s="20">
        <f>J13*J14</f>
        <v>710493225.9137932</v>
      </c>
      <c r="K15" s="20">
        <f>K13*K14</f>
        <v>667086585.5537437</v>
      </c>
    </row>
    <row r="17" spans="1:2" x14ac:dyDescent="0.25">
      <c r="A17" s="22" t="s">
        <v>59</v>
      </c>
      <c r="B17" s="23">
        <f>SUM(B15:K15)</f>
        <v>8529609766.648298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0.012190829973132363</v>
      </c>
      <c r="D19" s="9">
        <f>Assumptions!$B$10+($B$20-Assumptions!$B$10)*2/9</f>
        <v>0.014381659946264726</v>
      </c>
      <c r="E19" s="9">
        <f>Assumptions!$B$10+($B$20-Assumptions!$B$10)*3/9</f>
        <v>0.01657248991939709</v>
      </c>
      <c r="F19" s="9">
        <f>Assumptions!$B$10+($B$20-Assumptions!$B$10)*4/9</f>
        <v>0.018763319892529454</v>
      </c>
      <c r="G19" s="9">
        <f>Assumptions!$B$10+($B$20-Assumptions!$B$10)*5/9</f>
        <v>0.02095414986566182</v>
      </c>
      <c r="H19" s="9">
        <f>Assumptions!$B$10+($B$20-Assumptions!$B$10)*6/9</f>
        <v>0.023144979838794176</v>
      </c>
      <c r="I19" s="9">
        <f>Assumptions!$B$10+($B$20-Assumptions!$B$10)*7/9</f>
        <v>0.02533580981192654</v>
      </c>
      <c r="J19" s="9">
        <f>Assumptions!$B$10+($B$20-Assumptions!$B$10)*8/9</f>
        <v>0.027526639785058905</v>
      </c>
      <c r="K19" s="9">
        <f>Assumptions!$B$10+($B$20-Assumptions!$B$10)*9/9</f>
        <v>0.02971746975819127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0.02971746975819127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1394599297.3627403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1593841522.1341357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0.11620284935438677</v>
      </c>
    </row>
    <row r="7" spans="1:2" x14ac:dyDescent="0.25">
      <c r="A7" t="s">
        <v>66</v>
      </c>
      <c r="B7" s="18">
        <f>-MAX(B5,0)*B6</f>
        <v>-185208926.2913195</v>
      </c>
    </row>
    <row r="8" spans="1:2" x14ac:dyDescent="0.25">
      <c r="A8" t="s">
        <v>67</v>
      </c>
      <c r="B8" s="18">
        <f>IF(OR(Assumptions!$B$33=0,Assumptions!B12&lt;=0),B5,MAX(B5+B7,0))</f>
        <v>1408632595.8428164</v>
      </c>
    </row>
    <row r="9" spans="1:2" x14ac:dyDescent="0.25">
      <c r="A9" t="s">
        <v>68</v>
      </c>
      <c r="B9" s="18">
        <f>B8*(1+Assumptions!B12)/(Assumptions!B26-Assumptions!B12)</f>
        <v>25913551798.76087</v>
      </c>
    </row>
    <row r="10" spans="1:2" x14ac:dyDescent="0.25">
      <c r="A10" t="s">
        <v>69</v>
      </c>
      <c r="B10" s="18">
        <f>B9/(1+Assumptions!B26)^(10-0.5*Assumptions!B32)</f>
        <v>12395376092.398218</v>
      </c>
    </row>
    <row r="11" spans="1:2" x14ac:dyDescent="0.25">
      <c r="A11" t="s">
        <v>70</v>
      </c>
      <c r="B11" s="18">
        <f>Forecast!B17+B10</f>
        <v>20924985859.046516</v>
      </c>
    </row>
    <row r="12" spans="1:2" x14ac:dyDescent="0.25">
      <c r="A12" t="s">
        <v>71</v>
      </c>
      <c r="B12" s="18">
        <f>-Assumptions!B30</f>
        <v>-848000000</v>
      </c>
    </row>
    <row r="13" spans="1:2" x14ac:dyDescent="0.25">
      <c r="A13" t="s">
        <v>72</v>
      </c>
      <c r="B13" s="18">
        <f>B11+B12</f>
        <v>20076985859.046516</v>
      </c>
    </row>
    <row r="14" spans="1:2" x14ac:dyDescent="0.25">
      <c r="A14" s="19" t="s">
        <v>73</v>
      </c>
      <c r="B14" s="24">
        <f>B13/Assumptions!B31</f>
        <v>80.2116894088954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2083765313.4034963</v>
      </c>
    </row>
    <row r="18" spans="1:2" x14ac:dyDescent="0.25">
      <c r="A18" t="s">
        <v>68</v>
      </c>
      <c r="B18" s="18">
        <f>B17*Assumptions!B13</f>
        <v>41675306268.06992</v>
      </c>
    </row>
    <row r="19" spans="1:2" x14ac:dyDescent="0.25">
      <c r="A19" t="s">
        <v>69</v>
      </c>
      <c r="B19" s="18">
        <f>B18/(1+Assumptions!B26)^(10-0.5*Assumptions!B32)</f>
        <v>19934785434.673965</v>
      </c>
    </row>
    <row r="20" spans="1:2" x14ac:dyDescent="0.25">
      <c r="A20" t="s">
        <v>70</v>
      </c>
      <c r="B20" s="18">
        <f>Forecast!B17+B19</f>
        <v>28464395201.322266</v>
      </c>
    </row>
    <row r="21" spans="1:2" x14ac:dyDescent="0.25">
      <c r="A21" t="s">
        <v>71</v>
      </c>
      <c r="B21" s="18">
        <f>-Assumptions!B30</f>
        <v>-848000000</v>
      </c>
    </row>
    <row r="22" spans="1:2" x14ac:dyDescent="0.25">
      <c r="A22" t="s">
        <v>72</v>
      </c>
      <c r="B22" s="18">
        <f>B20+B21</f>
        <v>27616395201.322266</v>
      </c>
    </row>
    <row r="23" spans="1:2" x14ac:dyDescent="0.25">
      <c r="A23" s="19" t="s">
        <v>73</v>
      </c>
      <c r="B23" s="25">
        <f>B22/Assumptions!B31</f>
        <v>110.33318098810334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111.1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80.2116894088954</v>
      </c>
    </row>
    <row r="29" spans="1:2" x14ac:dyDescent="0.25">
      <c r="A29" s="19" t="s">
        <v>81</v>
      </c>
      <c r="B29" s="11">
        <f>B28/B26-1</f>
        <v>-0.2780225975796994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0.060718</v>
      </c>
      <c r="B5" s="31">
        <v>109.84687170012302</v>
      </c>
      <c r="C5" s="31">
        <v>116.9139509078941</v>
      </c>
      <c r="D5" s="31">
        <v>126.0635197066373</v>
      </c>
      <c r="E5" s="31">
        <v>138.31248492181587</v>
      </c>
      <c r="F5" s="31">
        <v>155.46856668122086</v>
      </c>
    </row>
    <row r="6" spans="1:6" x14ac:dyDescent="0.25">
      <c r="A6" s="30">
        <v>0.070718</v>
      </c>
      <c r="B6" s="31">
        <v>89.43637740371798</v>
      </c>
      <c r="C6" s="31">
        <v>93.31702734155085</v>
      </c>
      <c r="D6" s="31">
        <v>98.12319396095145</v>
      </c>
      <c r="E6" s="31">
        <v>104.1958259878768</v>
      </c>
      <c r="F6" s="31">
        <v>112.0667835800309</v>
      </c>
    </row>
    <row r="7" spans="1:6" x14ac:dyDescent="0.25">
      <c r="A7" s="30">
        <v>0.080718</v>
      </c>
      <c r="B7" s="31">
        <v>75.25763522847056</v>
      </c>
      <c r="C7" s="31">
        <v>77.50330946496842</v>
      </c>
      <c r="D7" s="32">
        <v>80.21152672409316</v>
      </c>
      <c r="E7" s="31">
        <v>83.51908548645144</v>
      </c>
      <c r="F7" s="31">
        <v>87.62262870555176</v>
      </c>
    </row>
    <row r="8" spans="1:6" x14ac:dyDescent="0.25">
      <c r="A8" s="30">
        <v>0.090718</v>
      </c>
      <c r="B8" s="31">
        <v>64.8402157831122</v>
      </c>
      <c r="C8" s="31">
        <v>66.17027782272385</v>
      </c>
      <c r="D8" s="31">
        <v>67.75046784925024</v>
      </c>
      <c r="E8" s="31">
        <v>69.64257840862052</v>
      </c>
      <c r="F8" s="31">
        <v>71.9305825076306</v>
      </c>
    </row>
    <row r="9" spans="1:6" x14ac:dyDescent="0.25">
      <c r="A9" s="30">
        <v>0.100718</v>
      </c>
      <c r="B9" s="31">
        <v>56.86661320953241</v>
      </c>
      <c r="C9" s="31">
        <v>57.65204125128148</v>
      </c>
      <c r="D9" s="31">
        <v>58.58044305435161</v>
      </c>
      <c r="E9" s="31">
        <v>59.68214479340577</v>
      </c>
      <c r="F9" s="31">
        <v>60.996701826789604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5503000000</v>
      </c>
      <c r="C5" s="18">
        <v>5193000000</v>
      </c>
      <c r="D5" s="18">
        <v>5021000000</v>
      </c>
      <c r="E5" s="18">
        <v>4870000000</v>
      </c>
      <c r="F5" s="6" t="s">
        <v>91</v>
      </c>
    </row>
    <row r="6" spans="1:6" x14ac:dyDescent="0.25">
      <c r="A6" t="s">
        <v>51</v>
      </c>
      <c r="B6" s="18">
        <v>1277000000</v>
      </c>
      <c r="C6" s="18">
        <v>1208000000</v>
      </c>
      <c r="D6" s="18">
        <v>1140000000</v>
      </c>
      <c r="E6" s="18">
        <v>1112000000</v>
      </c>
      <c r="F6" s="6" t="s">
        <v>92</v>
      </c>
    </row>
    <row r="7" spans="1:6" x14ac:dyDescent="0.25">
      <c r="A7" t="s">
        <v>93</v>
      </c>
      <c r="B7" s="18">
        <v>78000000</v>
      </c>
      <c r="C7" s="18">
        <v>78000000</v>
      </c>
      <c r="D7" s="18">
        <v>87000000</v>
      </c>
      <c r="E7" s="18">
        <v>90000000</v>
      </c>
      <c r="F7" s="6" t="s">
        <v>94</v>
      </c>
    </row>
    <row r="8" spans="1:6" x14ac:dyDescent="0.25">
      <c r="A8" t="s">
        <v>95</v>
      </c>
      <c r="B8" s="18">
        <v>63000000</v>
      </c>
      <c r="C8" s="18">
        <v>55000000</v>
      </c>
      <c r="D8" s="18">
        <v>54000000</v>
      </c>
      <c r="E8" s="18">
        <v>34000000</v>
      </c>
      <c r="F8" s="6" t="s">
        <v>96</v>
      </c>
    </row>
    <row r="9" spans="1:6" x14ac:dyDescent="0.25">
      <c r="A9" t="s">
        <v>97</v>
      </c>
      <c r="B9" s="18">
        <v>27000000</v>
      </c>
      <c r="C9" s="18">
        <v>116000000</v>
      </c>
      <c r="D9" s="18">
        <v>33000000</v>
      </c>
      <c r="E9" s="18">
        <v>106000000</v>
      </c>
      <c r="F9" s="6" t="s">
        <v>98</v>
      </c>
    </row>
    <row r="10" spans="1:6" x14ac:dyDescent="0.25">
      <c r="A10" t="s">
        <v>99</v>
      </c>
      <c r="B10" s="18">
        <v>2879000000</v>
      </c>
      <c r="C10" s="18">
        <v>2767000000</v>
      </c>
      <c r="D10" s="18">
        <v>2777000000</v>
      </c>
      <c r="E10" s="18">
        <v>123000000</v>
      </c>
      <c r="F10" s="6" t="s">
        <v>100</v>
      </c>
    </row>
    <row r="11" spans="1:6" x14ac:dyDescent="0.25">
      <c r="A11" t="s">
        <v>101</v>
      </c>
      <c r="B11" s="18">
        <v>2031000000</v>
      </c>
      <c r="C11" s="18">
        <v>1101000000</v>
      </c>
      <c r="D11" s="18">
        <v>762000000</v>
      </c>
      <c r="E11" s="18">
        <v>0</v>
      </c>
      <c r="F11" s="6" t="s">
        <v>102</v>
      </c>
    </row>
    <row r="12" spans="1:6" x14ac:dyDescent="0.25">
      <c r="A12" t="s">
        <v>34</v>
      </c>
      <c r="B12" s="34">
        <v>250300000</v>
      </c>
      <c r="C12" s="34">
        <v>249600000</v>
      </c>
      <c r="D12" s="34">
        <v>246800000</v>
      </c>
      <c r="E12" s="34">
        <v>246700000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