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<sst xmlns="http://schemas.openxmlformats.org/spreadsheetml/2006/main" count="119" uniqueCount="106">
  <si>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Vulcan Materials Company (VMC)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</si>
  <si>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</si>
  <si>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</si>
  <si>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</si>
  <si>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</si>
  <si>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</si>
  <si>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</si>
  <si>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</si>
  <si>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</si>
  <si>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</si>
  <si>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</si>
  <si>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</si>
  <si>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</si>
  <si>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</si>
  <si>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</si>
  <si>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</si>
  <si>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</si>
  <si>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</si>
  <si>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</si>
  <si>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</si>
  <si>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</si>
  <si>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</si>
  <si>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</si>
  <si>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</si>
  <si>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6.5x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</si>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</sst>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0.01174954729193689</v>
      </c>
    </row>
    <row r="7" spans="1:2" x14ac:dyDescent="0.25">
      <c r="A7" t="s">
        <v>4</v>
      </c>
      <c r="B7" s="5">
        <v>0.17526272839843543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0.07429785910873671</v>
      </c>
    </row>
    <row r="10" spans="1:3" x14ac:dyDescent="0.25">
      <c r="A10" t="s">
        <v>7</v>
      </c>
      <c r="B10" s="5">
        <v>0.0906439274439141</v>
      </c>
      <c r="C10" s="6" t="s">
        <v>8</v>
      </c>
    </row>
    <row r="11" spans="1:2" x14ac:dyDescent="0.25">
      <c r="A11" t="s">
        <v>9</v>
      </c>
      <c r="B11" s="5">
        <v>0.15030411486444972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18.47078429554509</v>
      </c>
    </row>
    <row r="14" spans="1:3" x14ac:dyDescent="0.25">
      <c r="A14" t="s">
        <v>12</v>
      </c>
      <c r="B14" s="5">
        <v>0.08910818313452065</v>
      </c>
      <c r="C14" s="6" t="s">
        <v>13</v>
      </c>
    </row>
    <row r="15" spans="1:3" x14ac:dyDescent="0.25">
      <c r="A15" t="s">
        <v>14</v>
      </c>
      <c r="B15" s="5">
        <v>0.06095533876288811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1.03082</v>
      </c>
      <c r="C19" s="6" t="s">
        <v>21</v>
      </c>
    </row>
    <row r="20" spans="1:2" x14ac:dyDescent="0.25">
      <c r="A20" t="s">
        <v>22</v>
      </c>
      <c r="B20" s="9">
        <f>B17+B19*B18</f>
        <v>0.09254368600000001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36096868352</v>
      </c>
    </row>
    <row r="23" spans="1:2" x14ac:dyDescent="0.25">
      <c r="A23" t="s">
        <v>26</v>
      </c>
      <c r="B23" s="10">
        <v>4884700000</v>
      </c>
    </row>
    <row r="24" spans="1:2" x14ac:dyDescent="0.25">
      <c r="A24" t="s">
        <v>27</v>
      </c>
      <c r="B24" s="9">
        <f>B22/(B22+B23)</f>
        <v>0.8808073922880598</v>
      </c>
    </row>
    <row r="25" spans="1:2" x14ac:dyDescent="0.25">
      <c r="A25" t="s">
        <v>28</v>
      </c>
      <c r="B25" s="9">
        <f>1-B24</f>
        <v>0.11919260771194018</v>
      </c>
    </row>
    <row r="26" spans="1:2" x14ac:dyDescent="0.25">
      <c r="A26" t="s">
        <v>29</v>
      </c>
      <c r="B26" s="11">
        <f>B24*B20+B25*B21*(1-B8)</f>
        <v>0.08663935073381708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7941100000</v>
      </c>
      <c r="C29" s="6" t="s">
        <v>32</v>
      </c>
    </row>
    <row r="30" spans="1:2" x14ac:dyDescent="0.25">
      <c r="A30" t="s">
        <v>33</v>
      </c>
      <c r="B30" s="10">
        <v>4701400000</v>
      </c>
    </row>
    <row r="31" spans="1:2" x14ac:dyDescent="0.25">
      <c r="A31" t="s">
        <v>34</v>
      </c>
      <c r="B31" s="12">
        <v>132700000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0.01174954729193689</v>
      </c>
      <c r="C5" s="5">
        <v>0.05051498945410926</v>
      </c>
      <c r="D5" s="5">
        <v>0.047325615772345606</v>
      </c>
      <c r="E5" s="5">
        <v>0.044136242090581944</v>
      </c>
      <c r="F5" s="5">
        <v>0.04094686840881829</v>
      </c>
      <c r="G5" s="5">
        <v>0.03775749472705463</v>
      </c>
      <c r="H5" s="5">
        <v>0.03456812104529097</v>
      </c>
      <c r="I5" s="5">
        <v>0.03137874736352732</v>
      </c>
      <c r="J5" s="5">
        <v>0.02818937368176366</v>
      </c>
      <c r="K5" s="5">
        <v>0.025</v>
      </c>
    </row>
    <row r="6" spans="1:11" x14ac:dyDescent="0.25">
      <c r="A6" t="s">
        <v>50</v>
      </c>
      <c r="B6" s="18">
        <f>Assumptions!B29*(1+B5)</f>
        <v>8034404330</v>
      </c>
      <c r="C6" s="18">
        <f>B6*(1+C5)</f>
        <v>8440262180</v>
      </c>
      <c r="D6" s="18">
        <f>C6*(1+D5)</f>
        <v>8839702784.94854</v>
      </c>
      <c r="E6" s="18">
        <f>D6*(1+E5)</f>
        <v>9229854047.07382</v>
      </c>
      <c r="F6" s="18">
        <f>E6*(1+F5)</f>
        <v>9607787666.171951</v>
      </c>
      <c r="G6" s="18">
        <f>F6*(1+G5)</f>
        <v>9970553658.3161</v>
      </c>
      <c r="H6" s="18">
        <f>G6*(1+H5)</f>
        <v>10315216964.06534</v>
      </c>
      <c r="I6" s="18">
        <f>H6*(1+I5)</f>
        <v>10638895551.18072</v>
      </c>
      <c r="J6" s="18">
        <f>I6*(1+J5)</f>
        <v>10938799353.434204</v>
      </c>
      <c r="K6" s="18">
        <f>J6*(1+K5)</f>
        <v>11212269337.270058</v>
      </c>
    </row>
    <row r="7" spans="1:11" x14ac:dyDescent="0.25">
      <c r="A7" t="s">
        <v>4</v>
      </c>
      <c r="B7" s="9">
        <f>Assumptions!B7</f>
        <v>0.17526272839843543</v>
      </c>
      <c r="C7" s="9">
        <f>Assumptions!B7</f>
        <v>0.17526272839843543</v>
      </c>
      <c r="D7" s="9">
        <f>Assumptions!B7</f>
        <v>0.17526272839843543</v>
      </c>
      <c r="E7" s="9">
        <f>Assumptions!B7</f>
        <v>0.17526272839843543</v>
      </c>
      <c r="F7" s="9">
        <f>Assumptions!B7</f>
        <v>0.17526272839843543</v>
      </c>
      <c r="G7" s="9">
        <f>Assumptions!B7</f>
        <v>0.17526272839843543</v>
      </c>
      <c r="H7" s="9">
        <f>Assumptions!B7</f>
        <v>0.17526272839843543</v>
      </c>
      <c r="I7" s="9">
        <f>Assumptions!B7</f>
        <v>0.17526272839843543</v>
      </c>
      <c r="J7" s="9">
        <f>Assumptions!B7</f>
        <v>0.17526272839843543</v>
      </c>
      <c r="K7" s="9">
        <f>Assumptions!B7</f>
        <v>0.17526272839843543</v>
      </c>
    </row>
    <row r="8" spans="1:11" x14ac:dyDescent="0.25">
      <c r="A8" t="s">
        <v>51</v>
      </c>
      <c r="B8" s="18">
        <f>B6*B7</f>
        <v>1408131623.9320035</v>
      </c>
      <c r="C8" s="18">
        <f>C6*C7</f>
        <v>1479263378.0649266</v>
      </c>
      <c r="D8" s="18">
        <f>D6*D7</f>
        <v>1549270428.321329</v>
      </c>
      <c r="E8" s="18">
        <f>E6*E7</f>
        <v>1617649403.009499</v>
      </c>
      <c r="F8" s="18">
        <f>F6*F7</f>
        <v>1683887080.2461326</v>
      </c>
      <c r="G8" s="18">
        <f>G6*G7</f>
        <v>1747466437.7994812</v>
      </c>
      <c r="H8" s="18">
        <f>H6*H7</f>
        <v>1807873069.1439173</v>
      </c>
      <c r="I8" s="18">
        <f>I6*I7</f>
        <v>1864601861.4459095</v>
      </c>
      <c r="J8" s="18">
        <f>J6*J7</f>
        <v>1917163820.08592</v>
      </c>
      <c r="K8" s="18">
        <f>K6*K7</f>
        <v>1965092915.5880678</v>
      </c>
    </row>
    <row r="9" spans="1:11" x14ac:dyDescent="0.25">
      <c r="A9" t="s">
        <v>52</v>
      </c>
      <c r="B9" s="18">
        <f>B8*(1-Assumptions!B8)</f>
        <v>1112423982.906283</v>
      </c>
      <c r="C9" s="18">
        <f>C8*(1-Assumptions!B8)</f>
        <v>1168618068.671292</v>
      </c>
      <c r="D9" s="18">
        <f>D8*(1-Assumptions!B8)</f>
        <v>1223923638.37385</v>
      </c>
      <c r="E9" s="18">
        <f>E8*(1-Assumptions!B8)</f>
        <v>1277943028.3775043</v>
      </c>
      <c r="F9" s="18">
        <f>F8*(1-Assumptions!B8)</f>
        <v>1330270793.394445</v>
      </c>
      <c r="G9" s="18">
        <f>G8*(1-Assumptions!B8)</f>
        <v>1380498485.8615901</v>
      </c>
      <c r="H9" s="18">
        <f>H8*(1-Assumptions!B8)</f>
        <v>1428219724.6236947</v>
      </c>
      <c r="I9" s="18">
        <f>I8*(1-Assumptions!B8)</f>
        <v>1473035470.5422685</v>
      </c>
      <c r="J9" s="18">
        <f>J8*(1-Assumptions!B8)</f>
        <v>1514559417.867877</v>
      </c>
      <c r="K9" s="18">
        <f>K8*(1-Assumptions!B8)</f>
        <v>1552423403.3145735</v>
      </c>
    </row>
    <row r="10" spans="1:11" x14ac:dyDescent="0.25">
      <c r="A10" t="s">
        <v>53</v>
      </c>
      <c r="B10" s="18">
        <f>B6*Assumptions!B9</f>
        <v>596939040.9329642</v>
      </c>
      <c r="C10" s="18">
        <f>C6*Assumptions!B9</f>
        <v>627093410.2904389</v>
      </c>
      <c r="D10" s="18">
        <f>D6*Assumptions!B9</f>
        <v>656770992.0792141</v>
      </c>
      <c r="E10" s="18">
        <f>E6*Assumptions!B9</f>
        <v>685758395.583694</v>
      </c>
      <c r="F10" s="18">
        <f>F6*Assumptions!B9</f>
        <v>713838054.3679019</v>
      </c>
      <c r="G10" s="18">
        <f>G6*Assumptions!B9</f>
        <v>740790790.9416689</v>
      </c>
      <c r="H10" s="18">
        <f>H6*Assumptions!B9</f>
        <v>766398536.6721774</v>
      </c>
      <c r="I10" s="18">
        <f>I6*Assumptions!B9</f>
        <v>790447162.7341908</v>
      </c>
      <c r="J10" s="18">
        <f>J6*Assumptions!B9</f>
        <v>812729373.1801947</v>
      </c>
      <c r="K10" s="18">
        <f>K6*Assumptions!B9</f>
        <v>833047607.5096995</v>
      </c>
    </row>
    <row r="11" spans="1:11" x14ac:dyDescent="0.25">
      <c r="A11" t="s">
        <v>54</v>
      </c>
      <c r="B11" s="18">
        <f>-B6*B19</f>
        <v>-728269963.1435893</v>
      </c>
      <c r="C11" s="18">
        <f>-C6*C19</f>
        <v>-776419115.3862364</v>
      </c>
      <c r="D11" s="18">
        <f>-D6*D19</f>
        <v>-825061878.3739787</v>
      </c>
      <c r="E11" s="18">
        <f>-E6*E19</f>
        <v>-873900403.4859663</v>
      </c>
      <c r="F11" s="18">
        <f>-F6*F19</f>
        <v>-922615981.7102183</v>
      </c>
      <c r="G11" s="18">
        <f>-G6*G19</f>
        <v>-970872026.6234084</v>
      </c>
      <c r="H11" s="18">
        <f>-H6*H19</f>
        <v>-1018317542.4192622</v>
      </c>
      <c r="I11" s="18">
        <f>-I6*I19</f>
        <v>-1064591037.1343642</v>
      </c>
      <c r="J11" s="18">
        <f>-J6*J19</f>
        <v>-1109324828.381569</v>
      </c>
      <c r="K11" s="18">
        <f>-K6*K19</f>
        <v>-1152149676.6913555</v>
      </c>
    </row>
    <row r="12" spans="1:11" x14ac:dyDescent="0.25">
      <c r="A12" t="s">
        <v>55</v>
      </c>
      <c r="B12" s="18">
        <f>-(B6-Assumptions!B29)*Assumptions!B11</f>
        <v>-14024024.733670522</v>
      </c>
      <c r="C12" s="18">
        <f>-(C6-B6)*Assumptions!B11</f>
        <v>-61002104.9050386</v>
      </c>
      <c r="D12" s="18">
        <f>-(D6-C6)*Assumptions!B11</f>
        <v>-60037566.5677106</v>
      </c>
      <c r="E12" s="18">
        <f>-(E6-D6)*Assumptions!B11</f>
        <v>-58641340.116988175</v>
      </c>
      <c r="F12" s="18">
        <f>-(F6-E6)*Assumptions!B11</f>
        <v>-56804978.0960627</v>
      </c>
      <c r="G12" s="18">
        <f>-(G6-F6)*Assumptions!B11</f>
        <v>-54525221.35215007</v>
      </c>
      <c r="H12" s="18">
        <f>-(H6-G6)*Assumptions!B11</f>
        <v>-51804313.09689485</v>
      </c>
      <c r="I12" s="18">
        <f>-(I6-H6)*Assumptions!B11</f>
        <v>-48650223.53695277</v>
      </c>
      <c r="J12" s="18">
        <f>-(J6-I6)*Assumptions!B11</f>
        <v>-45076775.54219298</v>
      </c>
      <c r="K12" s="18">
        <f>-(K6-J6)*Assumptions!B11</f>
        <v>-41103663.86244334</v>
      </c>
    </row>
    <row r="13" spans="1:11" x14ac:dyDescent="0.25">
      <c r="A13" s="19" t="s">
        <v>56</v>
      </c>
      <c r="B13" s="20">
        <f>B9+B10+B11+B12</f>
        <v>967069035.9619875</v>
      </c>
      <c r="C13" s="20">
        <f>C9+C10+C11+C12</f>
        <v>958290258.6704559</v>
      </c>
      <c r="D13" s="20">
        <f>D9+D10+D11+D12</f>
        <v>995595185.5113748</v>
      </c>
      <c r="E13" s="20">
        <f>E9+E10+E11+E12</f>
        <v>1031159680.358244</v>
      </c>
      <c r="F13" s="20">
        <f>F9+F10+F11+F12</f>
        <v>1064687887.9560657</v>
      </c>
      <c r="G13" s="20">
        <f>G9+G10+G11+G12</f>
        <v>1095892028.8277006</v>
      </c>
      <c r="H13" s="20">
        <f>H9+H10+H11+H12</f>
        <v>1124496405.7797153</v>
      </c>
      <c r="I13" s="20">
        <f>I9+I10+I11+I12</f>
        <v>1150241372.6051424</v>
      </c>
      <c r="J13" s="20">
        <f>J9+J10+J11+J12</f>
        <v>1172887187.12431</v>
      </c>
      <c r="K13" s="20">
        <f>K9+K10+K11+K12</f>
        <v>1192217670.2704742</v>
      </c>
    </row>
    <row r="14" spans="1:11" x14ac:dyDescent="0.25">
      <c r="A14" t="s">
        <v>57</v>
      </c>
      <c r="B14" s="21">
        <f>1/(1+Assumptions!$B$26)^(1-0.5*Assumptions!$B$32)</f>
        <v>0.9593062763767296</v>
      </c>
      <c r="C14" s="21">
        <f>1/(1+Assumptions!$B$26)^(2-0.5*Assumptions!$B$32)</f>
        <v>0.8828193785996261</v>
      </c>
      <c r="D14" s="21">
        <f>1/(1+Assumptions!$B$26)^(3-0.5*Assumptions!$B$32)</f>
        <v>0.8124308934730281</v>
      </c>
      <c r="E14" s="21">
        <f>1/(1+Assumptions!$B$26)^(4-0.5*Assumptions!$B$32)</f>
        <v>0.7476545856032054</v>
      </c>
      <c r="F14" s="21">
        <f>1/(1+Assumptions!$B$26)^(5-0.5*Assumptions!$B$32)</f>
        <v>0.6880429878582142</v>
      </c>
      <c r="G14" s="21">
        <f>1/(1+Assumptions!$B$26)^(6-0.5*Assumptions!$B$32)</f>
        <v>0.6331843103174689</v>
      </c>
      <c r="H14" s="21">
        <f>1/(1+Assumptions!$B$26)^(7-0.5*Assumptions!$B$32)</f>
        <v>0.582699595675303</v>
      </c>
      <c r="I14" s="21">
        <f>1/(1+Assumptions!$B$26)^(8-0.5*Assumptions!$B$32)</f>
        <v>0.5362401014483793</v>
      </c>
      <c r="J14" s="21">
        <f>1/(1+Assumptions!$B$26)^(9-0.5*Assumptions!$B$32)</f>
        <v>0.4934848909035474</v>
      </c>
      <c r="K14" s="21">
        <f>1/(1+Assumptions!$B$26)^(10-0.5*Assumptions!$B$32)</f>
        <v>0.45413861606455974</v>
      </c>
    </row>
    <row r="15" spans="1:11" x14ac:dyDescent="0.25">
      <c r="A15" s="19" t="s">
        <v>58</v>
      </c>
      <c r="B15" s="20">
        <f>B13*B14</f>
        <v>927715395.8879279</v>
      </c>
      <c r="C15" s="20">
        <f>C13*C14</f>
        <v>845997210.6775268</v>
      </c>
      <c r="D15" s="20">
        <f>D13*D14</f>
        <v>808852286.1024514</v>
      </c>
      <c r="E15" s="20">
        <f>E13*E14</f>
        <v>770951263.5089766</v>
      </c>
      <c r="F15" s="20">
        <f>F13*F14</f>
        <v>732551035.565743</v>
      </c>
      <c r="G15" s="20">
        <f>G13*G14</f>
        <v>693901638.4556794</v>
      </c>
      <c r="H15" s="20">
        <f>H13*H14</f>
        <v>655243600.9861716</v>
      </c>
      <c r="I15" s="20">
        <f>I13*I14</f>
        <v>616805550.3359046</v>
      </c>
      <c r="J15" s="20">
        <f>J13*J14</f>
        <v>578802105.5802088</v>
      </c>
      <c r="K15" s="20">
        <f>K13*K14</f>
        <v>541432082.8243468</v>
      </c>
    </row>
    <row r="17" spans="1:2" x14ac:dyDescent="0.25">
      <c r="A17" s="22" t="s">
        <v>59</v>
      </c>
      <c r="B17" s="23">
        <f>SUM(B15:K15)</f>
        <v>7172252169.924937</v>
      </c>
    </row>
    <row r="19" spans="1:11" x14ac:dyDescent="0.25">
      <c r="A19" t="s">
        <v>7</v>
      </c>
      <c r="B19" s="9">
        <f>Assumptions!$B$10+($B$20-Assumptions!$B$10)*0/9</f>
        <v>0.0906439274439141</v>
      </c>
      <c r="C19" s="9">
        <f>Assumptions!$B$10+($B$20-Assumptions!$B$10)*1/9</f>
        <v>0.09198992860980491</v>
      </c>
      <c r="D19" s="9">
        <f>Assumptions!$B$10+($B$20-Assumptions!$B$10)*2/9</f>
        <v>0.09333592977569571</v>
      </c>
      <c r="E19" s="9">
        <f>Assumptions!$B$10+($B$20-Assumptions!$B$10)*3/9</f>
        <v>0.09468193094158653</v>
      </c>
      <c r="F19" s="9">
        <f>Assumptions!$B$10+($B$20-Assumptions!$B$10)*4/9</f>
        <v>0.09602793210747734</v>
      </c>
      <c r="G19" s="9">
        <f>Assumptions!$B$10+($B$20-Assumptions!$B$10)*5/9</f>
        <v>0.09737393327336814</v>
      </c>
      <c r="H19" s="9">
        <f>Assumptions!$B$10+($B$20-Assumptions!$B$10)*6/9</f>
        <v>0.09871993443925896</v>
      </c>
      <c r="I19" s="9">
        <f>Assumptions!$B$10+($B$20-Assumptions!$B$10)*7/9</f>
        <v>0.10006593560514977</v>
      </c>
      <c r="J19" s="9">
        <f>Assumptions!$B$10+($B$20-Assumptions!$B$10)*8/9</f>
        <v>0.10141193677104057</v>
      </c>
      <c r="K19" s="9">
        <f>Assumptions!$B$10+($B$20-Assumptions!$B$10)*9/9</f>
        <v>0.10275793793693139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0.10275793793693139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1192217670.2704742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1670607349.4015453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0.28055784688437846</v>
      </c>
    </row>
    <row r="7" spans="1:2" x14ac:dyDescent="0.25">
      <c r="A7" t="s">
        <v>66</v>
      </c>
      <c r="B7" s="18">
        <f>-MAX(B5,0)*B6</f>
        <v>-468702000.93731606</v>
      </c>
    </row>
    <row r="8" spans="1:2" x14ac:dyDescent="0.25">
      <c r="A8" t="s">
        <v>67</v>
      </c>
      <c r="B8" s="18">
        <f>IF(OR(Assumptions!$B$33=0,Assumptions!B12&lt;=0),B5,MAX(B5+B7,0))</f>
        <v>1201905348.464229</v>
      </c>
    </row>
    <row r="9" spans="1:2" x14ac:dyDescent="0.25">
      <c r="A9" t="s">
        <v>68</v>
      </c>
      <c r="B9" s="18">
        <f>B8*(1+Assumptions!B12)/(Assumptions!B26-Assumptions!B12)</f>
        <v>19986469155.002808</v>
      </c>
    </row>
    <row r="10" spans="1:2" x14ac:dyDescent="0.25">
      <c r="A10" t="s">
        <v>69</v>
      </c>
      <c r="B10" s="18">
        <f>B9/(1+Assumptions!B26)^(10-0.5*Assumptions!B32)</f>
        <v>9076627442.069986</v>
      </c>
    </row>
    <row r="11" spans="1:2" x14ac:dyDescent="0.25">
      <c r="A11" t="s">
        <v>70</v>
      </c>
      <c r="B11" s="18">
        <f>Forecast!B17+B10</f>
        <v>16248879611.994923</v>
      </c>
    </row>
    <row r="12" spans="1:2" x14ac:dyDescent="0.25">
      <c r="A12" t="s">
        <v>71</v>
      </c>
      <c r="B12" s="18">
        <f>-Assumptions!B30</f>
        <v>-4701400000</v>
      </c>
    </row>
    <row r="13" spans="1:2" x14ac:dyDescent="0.25">
      <c r="A13" t="s">
        <v>72</v>
      </c>
      <c r="B13" s="18">
        <f>B11+B12</f>
        <v>11547479611.994923</v>
      </c>
    </row>
    <row r="14" spans="1:2" x14ac:dyDescent="0.25">
      <c r="A14" s="19" t="s">
        <v>73</v>
      </c>
      <c r="B14" s="24">
        <f>B13/Assumptions!B31</f>
        <v>87.01943942724131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2798140523.0977674</v>
      </c>
    </row>
    <row r="18" spans="1:2" x14ac:dyDescent="0.25">
      <c r="A18" t="s">
        <v>68</v>
      </c>
      <c r="B18" s="18">
        <f>B17*Assumptions!B13</f>
        <v>51683850030.762566</v>
      </c>
    </row>
    <row r="19" spans="1:2" x14ac:dyDescent="0.25">
      <c r="A19" t="s">
        <v>69</v>
      </c>
      <c r="B19" s="18">
        <f>B18/(1+Assumptions!B26)^(10-0.5*Assumptions!B32)</f>
        <v>23471632125.858765</v>
      </c>
    </row>
    <row r="20" spans="1:2" x14ac:dyDescent="0.25">
      <c r="A20" t="s">
        <v>70</v>
      </c>
      <c r="B20" s="18">
        <f>Forecast!B17+B19</f>
        <v>30643884295.783703</v>
      </c>
    </row>
    <row r="21" spans="1:2" x14ac:dyDescent="0.25">
      <c r="A21" t="s">
        <v>71</v>
      </c>
      <c r="B21" s="18">
        <f>-Assumptions!B30</f>
        <v>-4701400000</v>
      </c>
    </row>
    <row r="22" spans="1:2" x14ac:dyDescent="0.25">
      <c r="A22" t="s">
        <v>72</v>
      </c>
      <c r="B22" s="18">
        <f>B20+B21</f>
        <v>25942484295.783703</v>
      </c>
    </row>
    <row r="23" spans="1:2" x14ac:dyDescent="0.25">
      <c r="A23" s="19" t="s">
        <v>73</v>
      </c>
      <c r="B23" s="25">
        <f>B22/Assumptions!B31</f>
        <v>195.4972441279857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281.25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87.01943942724131</v>
      </c>
    </row>
    <row r="29" spans="1:2" x14ac:dyDescent="0.25">
      <c r="A29" s="19" t="s">
        <v>81</v>
      </c>
      <c r="B29" s="11">
        <f>B28/B26-1</f>
        <v>-0.6905975487031419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0.066639</v>
      </c>
      <c r="B5" s="31">
        <v>139.1564472314232</v>
      </c>
      <c r="C5" s="31">
        <v>141.24521689586763</v>
      </c>
      <c r="D5" s="31">
        <v>144.2486628446458</v>
      </c>
      <c r="E5" s="31">
        <v>148.54125338379808</v>
      </c>
      <c r="F5" s="31">
        <v>154.73416993042383</v>
      </c>
    </row>
    <row r="6" spans="1:6" x14ac:dyDescent="0.25">
      <c r="A6" s="30">
        <v>0.076639</v>
      </c>
      <c r="B6" s="31">
        <v>110.3911643935703</v>
      </c>
      <c r="C6" s="31">
        <v>110.11233296528987</v>
      </c>
      <c r="D6" s="31">
        <v>110.09432639801612</v>
      </c>
      <c r="E6" s="31">
        <v>110.42103098680487</v>
      </c>
      <c r="F6" s="31">
        <v>111.21662520234295</v>
      </c>
    </row>
    <row r="7" spans="1:6" x14ac:dyDescent="0.25">
      <c r="A7" s="30">
        <v>0.086639</v>
      </c>
      <c r="B7" s="31">
        <v>89.70634535413335</v>
      </c>
      <c r="C7" s="31">
        <v>88.34860556821829</v>
      </c>
      <c r="D7" s="32">
        <v>87.02011745218174</v>
      </c>
      <c r="E7" s="31">
        <v>85.7286278774053</v>
      </c>
      <c r="F7" s="31">
        <v>84.48488411085582</v>
      </c>
    </row>
    <row r="8" spans="1:6" x14ac:dyDescent="0.25">
      <c r="A8" s="30">
        <v>0.096639</v>
      </c>
      <c r="B8" s="31">
        <v>75.39321883403585</v>
      </c>
      <c r="C8" s="31">
        <v>74.05036033214839</v>
      </c>
      <c r="D8" s="31">
        <v>72.70750183026092</v>
      </c>
      <c r="E8" s="31">
        <v>71.36464332837345</v>
      </c>
      <c r="F8" s="31">
        <v>70.02178482648597</v>
      </c>
    </row>
    <row r="9" spans="1:6" x14ac:dyDescent="0.25">
      <c r="A9" s="30">
        <v>0.106639</v>
      </c>
      <c r="B9" s="31">
        <v>64.27241303256592</v>
      </c>
      <c r="C9" s="31">
        <v>63.11915816207288</v>
      </c>
      <c r="D9" s="31">
        <v>61.96590329157982</v>
      </c>
      <c r="E9" s="31">
        <v>60.812648421086784</v>
      </c>
      <c r="F9" s="31">
        <v>59.659393550593755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7941100000</v>
      </c>
      <c r="C5" s="18">
        <v>7417700000</v>
      </c>
      <c r="D5" s="18">
        <v>7781900000</v>
      </c>
      <c r="E5" s="18">
        <v>7315200000</v>
      </c>
      <c r="F5" s="6" t="s">
        <v>91</v>
      </c>
    </row>
    <row r="6" spans="1:6" x14ac:dyDescent="0.25">
      <c r="A6" t="s">
        <v>51</v>
      </c>
      <c r="B6" s="18">
        <v>1567200000</v>
      </c>
      <c r="C6" s="18">
        <v>1398800000</v>
      </c>
      <c r="D6" s="18">
        <v>1379300000</v>
      </c>
      <c r="E6" s="18">
        <v>1008600000</v>
      </c>
      <c r="F6" s="6" t="s">
        <v>92</v>
      </c>
    </row>
    <row r="7" spans="1:6" x14ac:dyDescent="0.25">
      <c r="A7" t="s">
        <v>93</v>
      </c>
      <c r="B7" s="18">
        <v>641600000</v>
      </c>
      <c r="C7" s="18">
        <v>558000000</v>
      </c>
      <c r="D7" s="18">
        <v>542000000</v>
      </c>
      <c r="E7" s="18">
        <v>523200000</v>
      </c>
      <c r="F7" s="6" t="s">
        <v>94</v>
      </c>
    </row>
    <row r="8" spans="1:6" x14ac:dyDescent="0.25">
      <c r="A8" t="s">
        <v>95</v>
      </c>
      <c r="B8" s="18">
        <v>677700000</v>
      </c>
      <c r="C8" s="18">
        <v>603500000</v>
      </c>
      <c r="D8" s="18">
        <v>872600000</v>
      </c>
      <c r="E8" s="18">
        <v>612600000</v>
      </c>
      <c r="F8" s="6" t="s">
        <v>96</v>
      </c>
    </row>
    <row r="9" spans="1:6" x14ac:dyDescent="0.25">
      <c r="A9" t="s">
        <v>97</v>
      </c>
      <c r="B9" s="18">
        <v>98700000</v>
      </c>
      <c r="C9" s="18">
        <v>277400000</v>
      </c>
      <c r="D9" s="18">
        <v>47300000</v>
      </c>
      <c r="E9" s="18">
        <v>248500000</v>
      </c>
      <c r="F9" s="6" t="s">
        <v>98</v>
      </c>
    </row>
    <row r="10" spans="1:6" x14ac:dyDescent="0.25">
      <c r="A10" t="s">
        <v>99</v>
      </c>
      <c r="B10" s="18">
        <v>4884700000</v>
      </c>
      <c r="C10" s="18">
        <v>5828800000</v>
      </c>
      <c r="D10" s="18">
        <v>4385200000</v>
      </c>
      <c r="E10" s="18">
        <v>4524100000</v>
      </c>
      <c r="F10" s="6" t="s">
        <v>100</v>
      </c>
    </row>
    <row r="11" spans="1:6" x14ac:dyDescent="0.25">
      <c r="A11" t="s">
        <v>101</v>
      </c>
      <c r="B11" s="18">
        <v>183300000</v>
      </c>
      <c r="C11" s="18">
        <v>559700000</v>
      </c>
      <c r="D11" s="18">
        <v>931100000</v>
      </c>
      <c r="E11" s="18">
        <v>161400000</v>
      </c>
      <c r="F11" s="6" t="s">
        <v>102</v>
      </c>
    </row>
    <row r="12" spans="1:6" x14ac:dyDescent="0.25">
      <c r="A12" t="s">
        <v>34</v>
      </c>
      <c r="B12" s="34">
        <v>132700000</v>
      </c>
      <c r="C12" s="34">
        <v>133100000</v>
      </c>
      <c r="D12" s="34">
        <v>133700000</v>
      </c>
      <c r="E12" s="34">
        <v>133600000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