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<sst xmlns="http://schemas.openxmlformats.org/spreadsheetml/2006/main" count="111" uniqueCount="99">
  <si>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Vulcan Materials Company (VMC)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</si>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</sst>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0.027743692765690886</v>
      </c>
    </row>
    <row r="7" spans="1:2" x14ac:dyDescent="0.25">
      <c r="A7" t="s">
        <v>5</v>
      </c>
      <c r="B7" s="6">
        <v>0.17526272839843543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0.07429785910873671</v>
      </c>
    </row>
    <row r="10" spans="1:2" x14ac:dyDescent="0.25">
      <c r="A10" t="s">
        <v>8</v>
      </c>
      <c r="B10" s="6">
        <v>0.0906439274439141</v>
      </c>
    </row>
    <row r="11" spans="1:2" x14ac:dyDescent="0.25">
      <c r="A11" t="s">
        <v>9</v>
      </c>
      <c r="B11" s="6">
        <v>0.10134990357831583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16.256721796450563</v>
      </c>
    </row>
    <row r="14" spans="1:3" x14ac:dyDescent="0.25">
      <c r="A14" t="s">
        <v>12</v>
      </c>
      <c r="B14" s="6">
        <v>0.09783615321605628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1.0361799999999999</v>
      </c>
      <c r="C19" s="8" t="s">
        <v>19</v>
      </c>
    </row>
    <row r="20" spans="1:2" x14ac:dyDescent="0.25">
      <c r="A20" t="s">
        <v>20</v>
      </c>
      <c r="B20" s="10">
        <f>B17+B19*B18</f>
        <v>0.1069699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31206447104</v>
      </c>
    </row>
    <row r="23" spans="1:2" x14ac:dyDescent="0.25">
      <c r="A23" t="s">
        <v>24</v>
      </c>
      <c r="B23" s="11">
        <v>4884700000</v>
      </c>
    </row>
    <row r="24" spans="1:2" x14ac:dyDescent="0.25">
      <c r="A24" t="s">
        <v>25</v>
      </c>
      <c r="B24" s="10">
        <f>B22/(B22+B23)</f>
        <v>0.8646565600720786</v>
      </c>
    </row>
    <row r="25" spans="1:2" x14ac:dyDescent="0.25">
      <c r="A25" t="s">
        <v>26</v>
      </c>
      <c r="B25" s="10">
        <f>1-B24</f>
        <v>0.13534343992792142</v>
      </c>
    </row>
    <row r="26" spans="1:2" x14ac:dyDescent="0.25">
      <c r="A26" t="s">
        <v>27</v>
      </c>
      <c r="B26" s="12">
        <f>B24*B20+B25*B21*(1-B8)</f>
        <v>0.09783615321605628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7941100000</v>
      </c>
      <c r="C29" s="8" t="s">
        <v>30</v>
      </c>
    </row>
    <row r="30" spans="1:2" x14ac:dyDescent="0.25">
      <c r="A30" t="s">
        <v>31</v>
      </c>
      <c r="B30" s="11">
        <v>4701400000</v>
      </c>
    </row>
    <row r="31" spans="1:2" x14ac:dyDescent="0.25">
      <c r="A31" t="s">
        <v>32</v>
      </c>
      <c r="B31" s="13">
        <v>132700000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0.027743692765690886</v>
      </c>
      <c r="C5" s="10">
        <f>Assumptions!B6</f>
        <v>0.027743692765690886</v>
      </c>
      <c r="D5" s="10">
        <f>Assumptions!B6</f>
        <v>0.027743692765690886</v>
      </c>
      <c r="E5" s="10">
        <f>Assumptions!B6</f>
        <v>0.027743692765690886</v>
      </c>
      <c r="F5" s="10">
        <f>Assumptions!B6</f>
        <v>0.027743692765690886</v>
      </c>
    </row>
    <row r="6" spans="1:6" x14ac:dyDescent="0.25">
      <c r="A6" t="s">
        <v>43</v>
      </c>
      <c r="B6" s="18">
        <f>Assumptions!B29*(1+B5)</f>
        <v>8161415438.621628</v>
      </c>
      <c r="C6" s="18">
        <f>B6*(1+C5)</f>
        <v>8387843241.083913</v>
      </c>
      <c r="D6" s="18">
        <f>C6*(1+D5)</f>
        <v>8620552986.931322</v>
      </c>
      <c r="E6" s="18">
        <f>D6*(1+E5)</f>
        <v>8859718960.471104</v>
      </c>
      <c r="F6" s="18">
        <f>E6*(1+F5)</f>
        <v>9105520281.30078</v>
      </c>
    </row>
    <row r="7" spans="1:6" x14ac:dyDescent="0.25">
      <c r="A7" t="s">
        <v>5</v>
      </c>
      <c r="B7" s="10">
        <f>Assumptions!B7</f>
        <v>0.17526272839843543</v>
      </c>
      <c r="C7" s="10">
        <f>Assumptions!B7</f>
        <v>0.17526272839843543</v>
      </c>
      <c r="D7" s="10">
        <f>Assumptions!B7</f>
        <v>0.17526272839843543</v>
      </c>
      <c r="E7" s="10">
        <f>Assumptions!B7</f>
        <v>0.17526272839843543</v>
      </c>
      <c r="F7" s="10">
        <f>Assumptions!B7</f>
        <v>0.17526272839843543</v>
      </c>
    </row>
    <row r="8" spans="1:6" x14ac:dyDescent="0.25">
      <c r="A8" t="s">
        <v>44</v>
      </c>
      <c r="B8" s="18">
        <f>B6*B7</f>
        <v>1430391937.36594</v>
      </c>
      <c r="C8" s="18">
        <f>C6*C7</f>
        <v>1470076291.8107421</v>
      </c>
      <c r="D8" s="18">
        <f>D6*D7</f>
        <v>1510861636.7928655</v>
      </c>
      <c r="E8" s="18">
        <f>E6*E7</f>
        <v>1552778517.8555157</v>
      </c>
      <c r="F8" s="18">
        <f>F6*F7</f>
        <v>1595858327.9880638</v>
      </c>
    </row>
    <row r="9" spans="1:6" x14ac:dyDescent="0.25">
      <c r="A9" t="s">
        <v>45</v>
      </c>
      <c r="B9" s="18">
        <f>B8*(1-Assumptions!B8)</f>
        <v>1130009630.5190928</v>
      </c>
      <c r="C9" s="18">
        <f>C8*(1-Assumptions!B8)</f>
        <v>1161360270.5304863</v>
      </c>
      <c r="D9" s="18">
        <f>D8*(1-Assumptions!B8)</f>
        <v>1193580693.0663638</v>
      </c>
      <c r="E9" s="18">
        <f>E8*(1-Assumptions!B8)</f>
        <v>1226695029.1058574</v>
      </c>
      <c r="F9" s="18">
        <f>F8*(1-Assumptions!B8)</f>
        <v>1260728079.1105704</v>
      </c>
    </row>
    <row r="10" spans="1:6" x14ac:dyDescent="0.25">
      <c r="A10" t="s">
        <v>46</v>
      </c>
      <c r="B10" s="18">
        <f>B6*Assumptions!B9</f>
        <v>606375694.3865783</v>
      </c>
      <c r="C10" s="18">
        <f>C6*Assumptions!B9</f>
        <v>623198795.352222</v>
      </c>
      <c r="D10" s="18">
        <f>D6*Assumptions!B9</f>
        <v>640488631.2624228</v>
      </c>
      <c r="E10" s="18">
        <f>E6*Assumptions!B9</f>
        <v>658258151.0680853</v>
      </c>
      <c r="F10" s="18">
        <f>F6*Assumptions!B9</f>
        <v>676520662.9718299</v>
      </c>
    </row>
    <row r="11" spans="1:6" x14ac:dyDescent="0.25">
      <c r="A11" t="s">
        <v>47</v>
      </c>
      <c r="B11" s="18">
        <f>-B6*Assumptions!B10</f>
        <v>-739782748.8580592</v>
      </c>
      <c r="C11" s="18">
        <f>-C6*Assumptions!B10</f>
        <v>-760307054.1557355</v>
      </c>
      <c r="D11" s="18">
        <f>-D6*Assumptions!B10</f>
        <v>-781400779.4738197</v>
      </c>
      <c r="E11" s="18">
        <f>-E6*Assumptions!B10</f>
        <v>-803079722.6264127</v>
      </c>
      <c r="F11" s="18">
        <f>-F6*Assumptions!B10</f>
        <v>-825360119.7173162</v>
      </c>
    </row>
    <row r="12" spans="1:6" x14ac:dyDescent="0.25">
      <c r="A12" t="s">
        <v>48</v>
      </c>
      <c r="B12" s="18">
        <f>-(B6-Assumptions!B29)*Assumptions!B11</f>
        <v>-22328948.461116336</v>
      </c>
      <c r="C12" s="18">
        <f>-(C6-B6)*Assumptions!B11</f>
        <v>-22948435.947002534</v>
      </c>
      <c r="D12" s="18">
        <f>-(D6-C6)*Assumptions!B11</f>
        <v>-23585110.30336931</v>
      </c>
      <c r="E12" s="18">
        <f>-(E6-D6)*Assumptions!B11</f>
        <v>-24239448.357470896</v>
      </c>
      <c r="F12" s="18">
        <f>-(F6-E6)*Assumptions!B11</f>
        <v>-24911940.165510304</v>
      </c>
    </row>
    <row r="13" spans="1:6" x14ac:dyDescent="0.25">
      <c r="A13" s="19" t="s">
        <v>49</v>
      </c>
      <c r="B13" s="20">
        <f>B9+B10+B11+B12</f>
        <v>974273627.5864956</v>
      </c>
      <c r="C13" s="20">
        <f>C9+C10+C11+C12</f>
        <v>1001303575.7799703</v>
      </c>
      <c r="D13" s="20">
        <f>D9+D10+D11+D12</f>
        <v>1029083434.5515976</v>
      </c>
      <c r="E13" s="20">
        <f>E9+E10+E11+E12</f>
        <v>1057634009.1900588</v>
      </c>
      <c r="F13" s="20">
        <f>F9+F10+F11+F12</f>
        <v>1086976682.1995738</v>
      </c>
    </row>
    <row r="14" spans="1:6" x14ac:dyDescent="0.25">
      <c r="A14" t="s">
        <v>50</v>
      </c>
      <c r="B14" s="21">
        <f>1/(1+Assumptions!$B$26)^(1-0.5*Assumptions!$B$32)</f>
        <v>0.9544017691636473</v>
      </c>
      <c r="C14" s="21">
        <f>1/(1+Assumptions!$B$26)^(2-0.5*Assumptions!$B$32)</f>
        <v>0.8693480956769138</v>
      </c>
      <c r="D14" s="21">
        <f>1/(1+Assumptions!$B$26)^(3-0.5*Assumptions!$B$32)</f>
        <v>0.7918741727808855</v>
      </c>
      <c r="E14" s="21">
        <f>1/(1+Assumptions!$B$26)^(4-0.5*Assumptions!$B$32)</f>
        <v>0.7213045138485642</v>
      </c>
      <c r="F14" s="21">
        <f>1/(1+Assumptions!$B$26)^(5-0.5*Assumptions!$B$32)</f>
        <v>0.657023829772356</v>
      </c>
    </row>
    <row r="15" spans="1:6" x14ac:dyDescent="0.25">
      <c r="A15" s="19" t="s">
        <v>51</v>
      </c>
      <c r="B15" s="20">
        <f>B13*B14</f>
        <v>929848473.8180358</v>
      </c>
      <c r="C15" s="20">
        <f>C13*C14</f>
        <v>870481356.7988015</v>
      </c>
      <c r="D15" s="20">
        <f>D13*D14</f>
        <v>814904593.4580588</v>
      </c>
      <c r="E15" s="20">
        <f>E13*E14</f>
        <v>762876184.8285433</v>
      </c>
      <c r="F15" s="20">
        <f>F13*F14</f>
        <v>714169582.612013</v>
      </c>
    </row>
    <row r="17" spans="1:2" x14ac:dyDescent="0.25">
      <c r="A17" s="22" t="s">
        <v>52</v>
      </c>
      <c r="B17" s="23">
        <f>SUM(B15:F15)</f>
        <v>4092280191.5154524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1086976682.1995738</v>
      </c>
    </row>
    <row r="5" spans="1:2" x14ac:dyDescent="0.25">
      <c r="A5" t="s">
        <v>56</v>
      </c>
      <c r="B5" s="18">
        <f>IF(Assumptions!$B$33=0,B4,B4-Forecast!F11-Forecast!F10-Forecast!F12)</f>
        <v>1356705644.9046764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0.2555292617115812</v>
      </c>
    </row>
    <row r="7" spans="1:2" x14ac:dyDescent="0.25">
      <c r="A7" t="s">
        <v>58</v>
      </c>
      <c r="B7" s="18">
        <f>-MAX(Forecast!F9,0)*B6</f>
        <v>-346677991.8024266</v>
      </c>
    </row>
    <row r="8" spans="1:2" x14ac:dyDescent="0.25">
      <c r="A8" t="s">
        <v>59</v>
      </c>
      <c r="B8" s="18">
        <f>IF(OR(Assumptions!$B$33=0,Assumptions!B12&lt;=0),B5,MAX(B5+B7,0))</f>
        <v>1010027653.1022499</v>
      </c>
    </row>
    <row r="9" spans="1:2" x14ac:dyDescent="0.25">
      <c r="A9" t="s">
        <v>60</v>
      </c>
      <c r="B9" s="18">
        <f>B8*(1+Assumptions!B12)/(Assumptions!B26-Assumptions!B12)</f>
        <v>14213797663.89949</v>
      </c>
    </row>
    <row r="10" spans="1:2" x14ac:dyDescent="0.25">
      <c r="A10" t="s">
        <v>61</v>
      </c>
      <c r="B10" s="18">
        <f>B9/(1+Assumptions!B26)^(5-0.5*Assumptions!B32)</f>
        <v>9338803776.74461</v>
      </c>
    </row>
    <row r="11" spans="1:2" x14ac:dyDescent="0.25">
      <c r="A11" t="s">
        <v>62</v>
      </c>
      <c r="B11" s="18">
        <f>Forecast!B17+B10</f>
        <v>13431083968.260063</v>
      </c>
    </row>
    <row r="12" spans="1:2" x14ac:dyDescent="0.25">
      <c r="A12" t="s">
        <v>63</v>
      </c>
      <c r="B12" s="18">
        <f>-Assumptions!B30</f>
        <v>-4701400000</v>
      </c>
    </row>
    <row r="13" spans="1:2" x14ac:dyDescent="0.25">
      <c r="A13" t="s">
        <v>64</v>
      </c>
      <c r="B13" s="18">
        <f>B11+B12</f>
        <v>8729683968.260063</v>
      </c>
    </row>
    <row r="14" spans="1:2" x14ac:dyDescent="0.25">
      <c r="A14" s="19" t="s">
        <v>65</v>
      </c>
      <c r="B14" s="24">
        <f>B13/Assumptions!B31</f>
        <v>65.78510902984222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2272378990.9598937</v>
      </c>
    </row>
    <row r="18" spans="1:2" x14ac:dyDescent="0.25">
      <c r="A18" t="s">
        <v>60</v>
      </c>
      <c r="B18" s="18">
        <f>B17*Assumptions!B13</f>
        <v>36941433072.13404</v>
      </c>
    </row>
    <row r="19" spans="1:2" x14ac:dyDescent="0.25">
      <c r="A19" t="s">
        <v>61</v>
      </c>
      <c r="B19" s="18">
        <f>B18/(1+Assumptions!B26)^(5-0.5*Assumptions!B32)</f>
        <v>24271401834.332676</v>
      </c>
    </row>
    <row r="20" spans="1:2" x14ac:dyDescent="0.25">
      <c r="A20" t="s">
        <v>62</v>
      </c>
      <c r="B20" s="18">
        <f>Forecast!B17+B19</f>
        <v>28363682025.84813</v>
      </c>
    </row>
    <row r="21" spans="1:2" x14ac:dyDescent="0.25">
      <c r="A21" t="s">
        <v>63</v>
      </c>
      <c r="B21" s="18">
        <f>-Assumptions!B30</f>
        <v>-4701400000</v>
      </c>
    </row>
    <row r="22" spans="1:2" x14ac:dyDescent="0.25">
      <c r="A22" t="s">
        <v>64</v>
      </c>
      <c r="B22" s="18">
        <f>B20+B21</f>
        <v>23662282025.84813</v>
      </c>
    </row>
    <row r="23" spans="1:2" x14ac:dyDescent="0.25">
      <c r="A23" s="19" t="s">
        <v>65</v>
      </c>
      <c r="B23" s="25">
        <f>B22/Assumptions!B31</f>
        <v>178.31410720307557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240.83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65.78510902984222</v>
      </c>
    </row>
    <row r="29" spans="1:2" x14ac:dyDescent="0.25">
      <c r="A29" s="19" t="s">
        <v>73</v>
      </c>
      <c r="B29" s="12">
        <f>B28/B26-1</f>
        <v>-0.7268400571779172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0.077836</v>
      </c>
      <c r="B5" s="31">
        <v>94.8173981718657</v>
      </c>
      <c r="C5" s="31">
        <v>96.59560957729762</v>
      </c>
      <c r="D5" s="31">
        <v>98.63288318399385</v>
      </c>
      <c r="E5" s="31">
        <v>101.01045348102058</v>
      </c>
      <c r="F5" s="31">
        <v>103.84748309689007</v>
      </c>
    </row>
    <row r="6" spans="1:6" x14ac:dyDescent="0.25">
      <c r="A6" s="30">
        <v>0.087836</v>
      </c>
      <c r="B6" s="31">
        <v>77.21175228552987</v>
      </c>
      <c r="C6" s="31">
        <v>77.71452790297755</v>
      </c>
      <c r="D6" s="31">
        <v>78.23481125341264</v>
      </c>
      <c r="E6" s="31">
        <v>78.77714303803882</v>
      </c>
      <c r="F6" s="31">
        <v>79.34778274873399</v>
      </c>
    </row>
    <row r="7" spans="1:6" x14ac:dyDescent="0.25">
      <c r="A7" s="30">
        <v>0.097836</v>
      </c>
      <c r="B7" s="31">
        <v>65.09868372481678</v>
      </c>
      <c r="C7" s="31">
        <v>65.44197867829051</v>
      </c>
      <c r="D7" s="32">
        <v>65.78527363176421</v>
      </c>
      <c r="E7" s="31">
        <v>66.12856858523794</v>
      </c>
      <c r="F7" s="31">
        <v>66.47186353871166</v>
      </c>
    </row>
    <row r="8" spans="1:6" x14ac:dyDescent="0.25">
      <c r="A8" s="30">
        <v>0.107836</v>
      </c>
      <c r="B8" s="31">
        <v>55.45549821387644</v>
      </c>
      <c r="C8" s="31">
        <v>55.754505183426645</v>
      </c>
      <c r="D8" s="31">
        <v>56.05351215297683</v>
      </c>
      <c r="E8" s="31">
        <v>56.352519122527006</v>
      </c>
      <c r="F8" s="31">
        <v>56.6515260920772</v>
      </c>
    </row>
    <row r="9" spans="1:6" x14ac:dyDescent="0.25">
      <c r="A9" s="30">
        <v>0.117836</v>
      </c>
      <c r="B9" s="31">
        <v>47.474551358045304</v>
      </c>
      <c r="C9" s="31">
        <v>47.737339223777596</v>
      </c>
      <c r="D9" s="31">
        <v>48.00012708950987</v>
      </c>
      <c r="E9" s="31">
        <v>48.26291495524216</v>
      </c>
      <c r="F9" s="31">
        <v>48.52570282097444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7941100000</v>
      </c>
      <c r="C5" s="18">
        <v>7417700000</v>
      </c>
      <c r="D5" s="18">
        <v>7781900000</v>
      </c>
      <c r="E5" s="18">
        <v>7315200000</v>
      </c>
      <c r="F5" s="8" t="s">
        <v>84</v>
      </c>
    </row>
    <row r="6" spans="1:6" x14ac:dyDescent="0.25">
      <c r="A6" t="s">
        <v>44</v>
      </c>
      <c r="B6" s="18">
        <v>1567200000</v>
      </c>
      <c r="C6" s="18">
        <v>1398800000</v>
      </c>
      <c r="D6" s="18">
        <v>1379300000</v>
      </c>
      <c r="E6" s="18">
        <v>1008600000</v>
      </c>
      <c r="F6" s="8" t="s">
        <v>85</v>
      </c>
    </row>
    <row r="7" spans="1:6" x14ac:dyDescent="0.25">
      <c r="A7" t="s">
        <v>86</v>
      </c>
      <c r="B7" s="18">
        <v>641600000</v>
      </c>
      <c r="C7" s="18">
        <v>558000000</v>
      </c>
      <c r="D7" s="18">
        <v>542000000</v>
      </c>
      <c r="E7" s="18">
        <v>523200000</v>
      </c>
      <c r="F7" s="8" t="s">
        <v>87</v>
      </c>
    </row>
    <row r="8" spans="1:6" x14ac:dyDescent="0.25">
      <c r="A8" t="s">
        <v>88</v>
      </c>
      <c r="B8" s="18">
        <v>677700000</v>
      </c>
      <c r="C8" s="18">
        <v>603500000</v>
      </c>
      <c r="D8" s="18">
        <v>872600000</v>
      </c>
      <c r="E8" s="18">
        <v>612600000</v>
      </c>
      <c r="F8" s="8" t="s">
        <v>89</v>
      </c>
    </row>
    <row r="9" spans="1:6" x14ac:dyDescent="0.25">
      <c r="A9" t="s">
        <v>90</v>
      </c>
      <c r="B9" s="18">
        <v>98700000</v>
      </c>
      <c r="C9" s="18">
        <v>277400000</v>
      </c>
      <c r="D9" s="18">
        <v>47300000</v>
      </c>
      <c r="E9" s="18">
        <v>248500000</v>
      </c>
      <c r="F9" s="8" t="s">
        <v>91</v>
      </c>
    </row>
    <row r="10" spans="1:6" x14ac:dyDescent="0.25">
      <c r="A10" t="s">
        <v>92</v>
      </c>
      <c r="B10" s="18">
        <v>4884700000</v>
      </c>
      <c r="C10" s="18">
        <v>5828800000</v>
      </c>
      <c r="D10" s="18">
        <v>4385200000</v>
      </c>
      <c r="E10" s="18">
        <v>4524100000</v>
      </c>
      <c r="F10" s="8" t="s">
        <v>93</v>
      </c>
    </row>
    <row r="11" spans="1:6" x14ac:dyDescent="0.25">
      <c r="A11" t="s">
        <v>94</v>
      </c>
      <c r="B11" s="18">
        <v>183300000</v>
      </c>
      <c r="C11" s="18">
        <v>559700000</v>
      </c>
      <c r="D11" s="18">
        <v>931100000</v>
      </c>
      <c r="E11" s="18">
        <v>161400000</v>
      </c>
      <c r="F11" s="8" t="s">
        <v>95</v>
      </c>
    </row>
    <row r="12" spans="1:6" x14ac:dyDescent="0.25">
      <c r="A12" t="s">
        <v>32</v>
      </c>
      <c r="B12" s="34">
        <v>132700000</v>
      </c>
      <c r="C12" s="34">
        <v>133100000</v>
      </c>
      <c r="D12" s="34">
        <v>133700000</v>
      </c>
      <c r="E12" s="34">
        <v>133600000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2026-09-19T00:06:56Z</dcterms:modified>
</cp:coreProperties>
</file>