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<sst xmlns="http://schemas.openxmlformats.org/spreadsheetml/2006/main" count="118" uniqueCount="103">
  <si>
    <t>Vonovia SE (VNA.DE)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</si>
  <si>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</si>
  <si>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</si>
  <si>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</si>
  <si>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</si>
  <si>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</si>
  <si>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</si>
  <si>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</si>
  <si>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</si>
  <si>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</si>
  <si>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</si>
  <si>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</si>
  <si>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</si>
  <si>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</si>
  <si>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</si>
  <si>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</si>
  <si>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</si>
  <si>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</si>
  <si>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</si>
  <si>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</si>
  <si>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</si>
  <si>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</si>
  <si>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</si>
  <si>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</si>
  <si>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</si>
  <si>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</si>
  <si>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</si>
  <si>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</si>
  <si>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</si>
  <si>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</si>
  <si>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</si>
  <si>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</si>
  <si>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</si>
  <si>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</si>
  <si>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</si>
  <si>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</si>
  <si>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</si>
  <si>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</si>
  <si>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</si>
  <si>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</si>
  <si>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</si>
  <si>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</si>
  <si>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</si>
  <si>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</si>
  <si>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</si>
  <si>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</si>
  <si>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</si>
  <si>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</si>
  <si>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</si>
  <si>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</si>
  <si>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</si>
  <si>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</si>
  <si>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</si>
  <si>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</si>
  <si>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</si>
  <si>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</si>
  <si>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</si>
  <si>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</si>
  <si>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</si>
  <si>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</si>
  <si>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</si>
  <si>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</si>
  <si>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</si>
  <si>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</si>
  <si>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</si>
  <si>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</si>
  <si>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</si>
  <si>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</si>
  <si>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</si>
  <si>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</si>
  <si>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</si>
  <si>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</si>
  <si>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</si>
  <si>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</si>
  <si>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</si>
  <si>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</si>
  <si>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</si>
  <si>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</si>
  <si>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</si>
  <si>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</si>
  <si>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</si>
  <si>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</si>
  <si>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</si>
  <si>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</si>
  <si>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</si>
  <si>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</si>
  <si>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</si>
  <si>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</si>
  <si>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</si>
  <si>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</si>
  <si>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</si>
  <si>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</si>
  <si>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</si>
  <si>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</si>
  <si>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</si>
  <si>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</si>
  <si>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</si>
  <si>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</si>
  <si>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</si>
  <si>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11.03% of revenue so the forecast is not handed free growth. Override it if the reported figure is right.</t>
  </si>
  <si>
    <t>Note: Risk-free rate is an assumption: EUR assumption - no free live source available for this market.</t>
  </si>
  <si>
    <t>Current EV/EBITDA of 55.4x sits outside a defensible 3-20x band, so the exit multiple is capped at 20.0x. A multiple that far out usually means EBITDA is the wrong denominator for this business.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</si>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</sst>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-0.009296613518317232</v>
      </c>
    </row>
    <row r="7" spans="1:2" x14ac:dyDescent="0.25">
      <c r="A7" t="s">
        <v>5</v>
      </c>
      <c r="B7" s="6">
        <v>0.018637136294649484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0.11030688307376782</v>
      </c>
    </row>
    <row r="10" spans="1:2" x14ac:dyDescent="0.25">
      <c r="A10" t="s">
        <v>8</v>
      </c>
      <c r="B10" s="6">
        <v>0.11030688307376782</v>
      </c>
    </row>
    <row r="11" spans="1:2" x14ac:dyDescent="0.25">
      <c r="A11" t="s">
        <v>9</v>
      </c>
      <c r="B11" s="6">
        <v>-0.4673515339150014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0.0405768551889118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1.3155700000000001</v>
      </c>
      <c r="C19" s="8" t="s">
        <v>19</v>
      </c>
    </row>
    <row r="20" spans="1:2" x14ac:dyDescent="0.25">
      <c r="A20" t="s">
        <v>20</v>
      </c>
      <c r="B20" s="10">
        <f>B17+B19*B18</f>
        <v>0.1049342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15017311232</v>
      </c>
    </row>
    <row r="23" spans="1:2" x14ac:dyDescent="0.25">
      <c r="A23" t="s">
        <v>24</v>
      </c>
      <c r="B23" s="11">
        <v>43190800000</v>
      </c>
    </row>
    <row r="24" spans="1:2" x14ac:dyDescent="0.25">
      <c r="A24" t="s">
        <v>25</v>
      </c>
      <c r="B24" s="10">
        <f>B22/(B22+B23)</f>
        <v>0.2579934465171962</v>
      </c>
    </row>
    <row r="25" spans="1:2" x14ac:dyDescent="0.25">
      <c r="A25" t="s">
        <v>26</v>
      </c>
      <c r="B25" s="10">
        <f>1-B24</f>
        <v>0.7420065534828038</v>
      </c>
    </row>
    <row r="26" spans="1:2" x14ac:dyDescent="0.25">
      <c r="A26" t="s">
        <v>27</v>
      </c>
      <c r="B26" s="12">
        <f>B24*B20+B25*B21*(1-B8)</f>
        <v>0.0405768551889118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5331400000</v>
      </c>
      <c r="C29" s="8" t="s">
        <v>30</v>
      </c>
    </row>
    <row r="30" spans="1:2" x14ac:dyDescent="0.25">
      <c r="A30" t="s">
        <v>31</v>
      </c>
      <c r="B30" s="11">
        <v>39677700000</v>
      </c>
    </row>
    <row r="31" spans="1:2" x14ac:dyDescent="0.25">
      <c r="A31" t="s">
        <v>32</v>
      </c>
      <c r="B31" s="13">
        <v>853950268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-0.009296613518317232</v>
      </c>
      <c r="C5" s="10">
        <f>Assumptions!B6</f>
        <v>-0.009296613518317232</v>
      </c>
      <c r="D5" s="10">
        <f>Assumptions!B6</f>
        <v>-0.009296613518317232</v>
      </c>
      <c r="E5" s="10">
        <f>Assumptions!B6</f>
        <v>-0.009296613518317232</v>
      </c>
      <c r="F5" s="10">
        <f>Assumptions!B6</f>
        <v>-0.009296613518317232</v>
      </c>
    </row>
    <row r="6" spans="1:6" x14ac:dyDescent="0.25">
      <c r="A6" t="s">
        <v>43</v>
      </c>
      <c r="B6" s="18">
        <f>Assumptions!B29*(1+B5)</f>
        <v>5281836034.688443</v>
      </c>
      <c r="C6" s="18">
        <f>B6*(1+C5)</f>
        <v>5232732846.406823</v>
      </c>
      <c r="D6" s="18">
        <f>C6*(1+D5)</f>
        <v>5184086151.489175</v>
      </c>
      <c r="E6" s="18">
        <f>D6*(1+E5)</f>
        <v>5135891706.09312</v>
      </c>
      <c r="F6" s="18">
        <f>E6*(1+F5)</f>
        <v>5088145305.829641</v>
      </c>
    </row>
    <row r="7" spans="1:6" x14ac:dyDescent="0.25">
      <c r="A7" t="s">
        <v>5</v>
      </c>
      <c r="B7" s="10">
        <f>Assumptions!B7</f>
        <v>0.018637136294649484</v>
      </c>
      <c r="C7" s="10">
        <f>Assumptions!B7</f>
        <v>0.018637136294649484</v>
      </c>
      <c r="D7" s="10">
        <f>Assumptions!B7</f>
        <v>0.018637136294649484</v>
      </c>
      <c r="E7" s="10">
        <f>Assumptions!B7</f>
        <v>0.018637136294649484</v>
      </c>
      <c r="F7" s="10">
        <f>Assumptions!B7</f>
        <v>0.018637136294649484</v>
      </c>
    </row>
    <row r="8" spans="1:6" x14ac:dyDescent="0.25">
      <c r="A8" t="s">
        <v>44</v>
      </c>
      <c r="B8" s="18">
        <f>B6*B7</f>
        <v>98438298.0644795</v>
      </c>
      <c r="C8" s="18">
        <f>C6*C7</f>
        <v>97523155.25197311</v>
      </c>
      <c r="D8" s="18">
        <f>D6*D7</f>
        <v>96616520.16850866</v>
      </c>
      <c r="E8" s="18">
        <f>E6*E7</f>
        <v>95718313.72101735</v>
      </c>
      <c r="F8" s="18">
        <f>F6*F7</f>
        <v>94828457.55172801</v>
      </c>
    </row>
    <row r="9" spans="1:6" x14ac:dyDescent="0.25">
      <c r="A9" t="s">
        <v>45</v>
      </c>
      <c r="B9" s="18">
        <f>B8*(1-Assumptions!B8)</f>
        <v>68906808.64513564</v>
      </c>
      <c r="C9" s="18">
        <f>C8*(1-Assumptions!B8)</f>
        <v>68266208.67638117</v>
      </c>
      <c r="D9" s="18">
        <f>D8*(1-Assumptions!B8)</f>
        <v>67631564.11795606</v>
      </c>
      <c r="E9" s="18">
        <f>E8*(1-Assumptions!B8)</f>
        <v>67002819.604712136</v>
      </c>
      <c r="F9" s="18">
        <f>F8*(1-Assumptions!B8)</f>
        <v>66379920.286209606</v>
      </c>
    </row>
    <row r="10" spans="1:6" x14ac:dyDescent="0.25">
      <c r="A10" t="s">
        <v>46</v>
      </c>
      <c r="B10" s="18">
        <f>B6*Assumptions!B9</f>
        <v>582622869.8931916</v>
      </c>
      <c r="C10" s="18">
        <f>C6*Assumptions!B9</f>
        <v>577206450.2448617</v>
      </c>
      <c r="D10" s="18">
        <f>D6*Assumptions!B9</f>
        <v>571840384.9566554</v>
      </c>
      <c r="E10" s="18">
        <f>E6*Assumptions!B9</f>
        <v>566524205.9035476</v>
      </c>
      <c r="F10" s="18">
        <f>F6*Assumptions!B9</f>
        <v>561257449.3124908</v>
      </c>
    </row>
    <row r="11" spans="1:6" x14ac:dyDescent="0.25">
      <c r="A11" t="s">
        <v>47</v>
      </c>
      <c r="B11" s="18">
        <f>-B6*Assumptions!B10</f>
        <v>-582622869.8931916</v>
      </c>
      <c r="C11" s="18">
        <f>-C6*Assumptions!B10</f>
        <v>-577206450.2448617</v>
      </c>
      <c r="D11" s="18">
        <f>-D6*Assumptions!B10</f>
        <v>-571840384.9566554</v>
      </c>
      <c r="E11" s="18">
        <f>-E6*Assumptions!B10</f>
        <v>-566524205.9035476</v>
      </c>
      <c r="F11" s="18">
        <f>-F6*Assumptions!B10</f>
        <v>-561257449.3124908</v>
      </c>
    </row>
    <row r="12" spans="1:6" x14ac:dyDescent="0.25">
      <c r="A12" t="s">
        <v>48</v>
      </c>
      <c r="B12" s="18">
        <f>-(B6-Assumptions!B29)*Assumptions!B11</f>
        <v>-23163795.215265997</v>
      </c>
      <c r="C12" s="18">
        <f>-(C6-B6)*Assumptions!B11</f>
        <v>-22948450.36353224</v>
      </c>
      <c r="D12" s="18">
        <f>-(D6-C6)*Assumptions!B11</f>
        <v>-22735107.489658043</v>
      </c>
      <c r="E12" s="18">
        <f>-(E6-D6)*Assumptions!B11</f>
        <v>-22523747.982029185</v>
      </c>
      <c r="F12" s="18">
        <f>-(F6-E6)*Assumptions!B11</f>
        <v>-22314353.402056202</v>
      </c>
    </row>
    <row r="13" spans="1:6" x14ac:dyDescent="0.25">
      <c r="A13" s="19" t="s">
        <v>49</v>
      </c>
      <c r="B13" s="20">
        <f>B9+B10+B11+B12</f>
        <v>45743013.429869644</v>
      </c>
      <c r="C13" s="20">
        <f>C9+C10+C11+C12</f>
        <v>45317758.312848985</v>
      </c>
      <c r="D13" s="20">
        <f>D9+D10+D11+D12</f>
        <v>44896456.628298</v>
      </c>
      <c r="E13" s="20">
        <f>E9+E10+E11+E12</f>
        <v>44479071.622682944</v>
      </c>
      <c r="F13" s="20">
        <f>F9+F10+F11+F12</f>
        <v>44065566.88415338</v>
      </c>
    </row>
    <row r="14" spans="1:6" x14ac:dyDescent="0.25">
      <c r="A14" t="s">
        <v>50</v>
      </c>
      <c r="B14" s="21">
        <f>1/(1+Assumptions!$B$26)^(1-0.5*Assumptions!$B$32)</f>
        <v>0.9803088401874553</v>
      </c>
      <c r="C14" s="21">
        <f>1/(1+Assumptions!$B$26)^(2-0.5*Assumptions!$B$32)</f>
        <v>0.9420821108014023</v>
      </c>
      <c r="D14" s="21">
        <f>1/(1+Assumptions!$B$26)^(3-0.5*Assumptions!$B$32)</f>
        <v>0.9053460165903572</v>
      </c>
      <c r="E14" s="21">
        <f>1/(1+Assumptions!$B$26)^(4-0.5*Assumptions!$B$32)</f>
        <v>0.8700424308649416</v>
      </c>
      <c r="F14" s="21">
        <f>1/(1+Assumptions!$B$26)^(5-0.5*Assumptions!$B$32)</f>
        <v>0.8361154935614914</v>
      </c>
    </row>
    <row r="15" spans="1:6" x14ac:dyDescent="0.25">
      <c r="A15" s="19" t="s">
        <v>51</v>
      </c>
      <c r="B15" s="20">
        <f>B13*B14</f>
        <v>44842280.4421147</v>
      </c>
      <c r="C15" s="20">
        <f>C13*C14</f>
        <v>42693049.40815657</v>
      </c>
      <c r="D15" s="20">
        <f>D13*D14</f>
        <v>40646828.16745133</v>
      </c>
      <c r="E15" s="20">
        <f>E13*E14</f>
        <v>38698679.59721491</v>
      </c>
      <c r="F15" s="20">
        <f>F13*F14</f>
        <v>36843903.204410814</v>
      </c>
    </row>
    <row r="17" spans="1:2" x14ac:dyDescent="0.25">
      <c r="A17" s="22" t="s">
        <v>52</v>
      </c>
      <c r="B17" s="23">
        <f>SUM(B15:F15)</f>
        <v>203724740.81934834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44065566.88415338</v>
      </c>
    </row>
    <row r="5" spans="1:2" x14ac:dyDescent="0.25">
      <c r="A5" t="s">
        <v>56</v>
      </c>
      <c r="B5" s="18">
        <f>IF(Assumptions!$B$33=0,B4,B4-Forecast!F11-Forecast!F10-Forecast!F12)</f>
        <v>66379920.286209606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0.6161147748786507</v>
      </c>
    </row>
    <row r="7" spans="1:2" x14ac:dyDescent="0.25">
      <c r="A7" t="s">
        <v>58</v>
      </c>
      <c r="B7" s="18">
        <f>-MAX(Forecast!F9,0)*B6</f>
        <v>-40897649.643600814</v>
      </c>
    </row>
    <row r="8" spans="1:2" x14ac:dyDescent="0.25">
      <c r="A8" t="s">
        <v>59</v>
      </c>
      <c r="B8" s="18">
        <f>IF(OR(Assumptions!$B$33=0,Assumptions!B12&lt;=0),B5,MAX(B5+B7,0))</f>
        <v>25482270.64260879</v>
      </c>
    </row>
    <row r="9" spans="1:2" x14ac:dyDescent="0.25">
      <c r="A9" t="s">
        <v>60</v>
      </c>
      <c r="B9" s="18">
        <f>B8*(1+Assumptions!B12)/(Assumptions!B26-Assumptions!B12)</f>
        <v>1676803635.3876326</v>
      </c>
    </row>
    <row r="10" spans="1:2" x14ac:dyDescent="0.25">
      <c r="A10" t="s">
        <v>61</v>
      </c>
      <c r="B10" s="18">
        <f>B9/(1+Assumptions!B26)^(5-0.5*Assumptions!B32)</f>
        <v>1402001499.2078335</v>
      </c>
    </row>
    <row r="11" spans="1:2" x14ac:dyDescent="0.25">
      <c r="A11" t="s">
        <v>62</v>
      </c>
      <c r="B11" s="18">
        <f>Forecast!B17+B10</f>
        <v>1605726240.0271819</v>
      </c>
    </row>
    <row r="12" spans="1:2" x14ac:dyDescent="0.25">
      <c r="A12" t="s">
        <v>63</v>
      </c>
      <c r="B12" s="18">
        <f>-Assumptions!B30</f>
        <v>-39677700000</v>
      </c>
    </row>
    <row r="13" spans="1:2" x14ac:dyDescent="0.25">
      <c r="A13" t="s">
        <v>64</v>
      </c>
      <c r="B13" s="18">
        <f>B11+B12</f>
        <v>-38071973759.97282</v>
      </c>
    </row>
    <row r="14" spans="1:2" x14ac:dyDescent="0.25">
      <c r="A14" s="19" t="s">
        <v>65</v>
      </c>
      <c r="B14" s="24">
        <f>B13/Assumptions!B31</f>
        <v>-44.58336180295316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656085906.8642188</v>
      </c>
    </row>
    <row r="18" spans="1:2" x14ac:dyDescent="0.25">
      <c r="A18" t="s">
        <v>60</v>
      </c>
      <c r="B18" s="18">
        <f>B17*Assumptions!B13</f>
        <v>13121718137.284376</v>
      </c>
    </row>
    <row r="19" spans="1:2" x14ac:dyDescent="0.25">
      <c r="A19" t="s">
        <v>61</v>
      </c>
      <c r="B19" s="18">
        <f>B18/(1+Assumptions!B26)^(5-0.5*Assumptions!B32)</f>
        <v>10971271836.730299</v>
      </c>
    </row>
    <row r="20" spans="1:2" x14ac:dyDescent="0.25">
      <c r="A20" t="s">
        <v>62</v>
      </c>
      <c r="B20" s="18">
        <f>Forecast!B17+B19</f>
        <v>11174996577.549648</v>
      </c>
    </row>
    <row r="21" spans="1:2" x14ac:dyDescent="0.25">
      <c r="A21" t="s">
        <v>63</v>
      </c>
      <c r="B21" s="18">
        <f>-Assumptions!B30</f>
        <v>-39677700000</v>
      </c>
    </row>
    <row r="22" spans="1:2" x14ac:dyDescent="0.25">
      <c r="A22" t="s">
        <v>64</v>
      </c>
      <c r="B22" s="18">
        <f>B20+B21</f>
        <v>-28502703422.45035</v>
      </c>
    </row>
    <row r="23" spans="1:2" x14ac:dyDescent="0.25">
      <c r="A23" s="19" t="s">
        <v>65</v>
      </c>
      <c r="B23" s="25">
        <f>B22/Assumptions!B31</f>
        <v>-33.3774746499059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-44.58336180295316</v>
      </c>
    </row>
    <row r="29" spans="1:2" x14ac:dyDescent="0.25">
      <c r="A29" s="19" t="s">
        <v>73</v>
      </c>
      <c r="B29" s="12">
        <f>B28/B26-1</f>
        <v>-3.5188340001668457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0.020577</v>
      </c>
      <c r="B5" s="31">
        <v>-42.71516566150732</v>
      </c>
      <c r="C5" s="31">
        <v>-33.67583388288034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0.030577</v>
      </c>
      <c r="B6" s="31">
        <v>-43.96625439273708</v>
      </c>
      <c r="C6" s="31">
        <v>-43.955154538587706</v>
      </c>
      <c r="D6" s="31">
        <v>-43.94405468443834</v>
      </c>
      <c r="E6" s="31">
        <v>-34.10228916859488</v>
      </c>
      <c r="F6" s="31" t="s">
        <v>76</v>
      </c>
    </row>
    <row r="7" spans="1:6" x14ac:dyDescent="0.25">
      <c r="A7" s="30">
        <v>0.040577</v>
      </c>
      <c r="B7" s="31">
        <v>-44.59938610328951</v>
      </c>
      <c r="C7" s="31">
        <v>-44.59137743666129</v>
      </c>
      <c r="D7" s="32">
        <v>-44.58336877003308</v>
      </c>
      <c r="E7" s="31">
        <v>-44.575360103404876</v>
      </c>
      <c r="F7" s="31">
        <v>-44.56735143677667</v>
      </c>
    </row>
    <row r="8" spans="1:6" x14ac:dyDescent="0.25">
      <c r="A8" s="30">
        <v>0.050577</v>
      </c>
      <c r="B8" s="31">
        <v>-44.981170469415126</v>
      </c>
      <c r="C8" s="31">
        <v>-44.97501592957593</v>
      </c>
      <c r="D8" s="31">
        <v>-44.968861389736745</v>
      </c>
      <c r="E8" s="31">
        <v>-44.962706849897565</v>
      </c>
      <c r="F8" s="31">
        <v>-44.95655231005838</v>
      </c>
    </row>
    <row r="9" spans="1:6" x14ac:dyDescent="0.25">
      <c r="A9" s="30">
        <v>0.060577</v>
      </c>
      <c r="B9" s="31">
        <v>-45.236134880828494</v>
      </c>
      <c r="C9" s="31">
        <v>-45.23121078530629</v>
      </c>
      <c r="D9" s="31">
        <v>-45.2262866897841</v>
      </c>
      <c r="E9" s="31">
        <v>-45.2213625942619</v>
      </c>
      <c r="F9" s="31">
        <v>-45.216438498739706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5331400000</v>
      </c>
      <c r="C5" s="18">
        <v>5939100000</v>
      </c>
      <c r="D5" s="18">
        <v>5228500000</v>
      </c>
      <c r="E5" s="18">
        <v>5482900000</v>
      </c>
      <c r="F5" s="8" t="s">
        <v>85</v>
      </c>
    </row>
    <row r="6" spans="1:6" x14ac:dyDescent="0.25">
      <c r="A6" t="s">
        <v>44</v>
      </c>
      <c r="B6" s="18">
        <v>473900000</v>
      </c>
      <c r="C6" s="18">
        <v>1001500000</v>
      </c>
      <c r="D6" s="18">
        <v>1050300000</v>
      </c>
      <c r="E6" s="18">
        <v>-2104600000</v>
      </c>
      <c r="F6" s="8" t="s">
        <v>86</v>
      </c>
    </row>
    <row r="7" spans="1:6" x14ac:dyDescent="0.25">
      <c r="A7" t="s">
        <v>87</v>
      </c>
      <c r="B7" s="18">
        <v>514200000</v>
      </c>
      <c r="C7" s="18">
        <v>134300000</v>
      </c>
      <c r="D7" s="18">
        <v>464700000</v>
      </c>
      <c r="E7" s="18">
        <v>1279100000</v>
      </c>
      <c r="F7" s="8" t="s">
        <v>88</v>
      </c>
    </row>
    <row r="8" spans="1:6" x14ac:dyDescent="0.25">
      <c r="A8" t="s">
        <v>89</v>
      </c>
      <c r="B8" s="18">
        <v>0</v>
      </c>
      <c r="C8" s="18">
        <v>0</v>
      </c>
      <c r="D8" s="18">
        <v>0</v>
      </c>
      <c r="E8" s="18">
        <v>0</v>
      </c>
      <c r="F8" s="8" t="s">
        <v>90</v>
      </c>
    </row>
    <row r="9" spans="1:6" x14ac:dyDescent="0.25">
      <c r="A9" t="s">
        <v>91</v>
      </c>
      <c r="B9" s="18">
        <v>-111900000</v>
      </c>
      <c r="C9" s="18">
        <v>-332100000</v>
      </c>
      <c r="D9" s="18">
        <v>340200000</v>
      </c>
      <c r="E9" s="18">
        <v>106600000</v>
      </c>
      <c r="F9" s="8" t="s">
        <v>92</v>
      </c>
    </row>
    <row r="10" spans="1:6" x14ac:dyDescent="0.25">
      <c r="A10" t="s">
        <v>93</v>
      </c>
      <c r="B10" s="18">
        <v>43190800000</v>
      </c>
      <c r="C10" s="18">
        <v>43205300000</v>
      </c>
      <c r="D10" s="18">
        <v>43493900000</v>
      </c>
      <c r="E10" s="18">
        <v>45687100000</v>
      </c>
      <c r="F10" s="8" t="s">
        <v>94</v>
      </c>
    </row>
    <row r="11" spans="1:6" x14ac:dyDescent="0.25">
      <c r="A11" t="s">
        <v>95</v>
      </c>
      <c r="B11" s="18">
        <v>3513100000</v>
      </c>
      <c r="C11" s="18">
        <v>2018500000</v>
      </c>
      <c r="D11" s="18">
        <v>1593700000</v>
      </c>
      <c r="E11" s="18">
        <v>1247700000</v>
      </c>
      <c r="F11" s="8" t="s">
        <v>96</v>
      </c>
    </row>
    <row r="12" spans="1:6" x14ac:dyDescent="0.25">
      <c r="A12" t="s">
        <v>32</v>
      </c>
      <c r="B12" s="34">
        <v>853950268</v>
      </c>
      <c r="C12" s="34">
        <v>819354465</v>
      </c>
      <c r="D12" s="34">
        <v>806251614</v>
      </c>
      <c r="E12" s="34">
        <v>792979455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38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