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<sst xmlns="http://schemas.openxmlformats.org/spreadsheetml/2006/main" count="113" uniqueCount="101">
  <si>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Ventia Services Group Limited (VNT.AX)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</si>
  <si>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</si>
  <si>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</si>
  <si>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</si>
  <si>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</si>
  <si>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</si>
  <si>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</si>
  <si>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</si>
  <si>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</si>
  <si>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</si>
  <si>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</si>
  <si>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</si>
  <si>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</si>
  <si>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</si>
  <si>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</si>
  <si>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</si>
  <si>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</si>
  <si>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</si>
  <si>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</si>
  <si>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</si>
  <si>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</si>
  <si>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</si>
  <si>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</si>
  <si>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</si>
  <si>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</si>
  <si>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</si>
  <si>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</si>
  <si>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</si>
  <si>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</si>
  <si>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</si>
  <si>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2025-12-31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</si>
  <si>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</si>
  <si>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</si>
  <si>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</si>
  <si>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</si>
  <si>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</si>
  <si>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</si>
  <si>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</si>
  <si>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</si>
  <si>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</si>
  <si>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</si>
  <si>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</si>
  <si>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</si>
  <si>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</si>
  <si>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</si>
  <si>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</si>
  <si>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</si>
  <si>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</si>
  <si>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</si>
  <si>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</si>
  <si>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</si>
  <si>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</si>
  <si>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</si>
  <si>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</si>
  <si>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</si>
  <si>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</si>
  <si>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</si>
  <si>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</si>
  <si>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</si>
  <si>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</si>
  <si>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</si>
  <si>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</si>
  <si>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</si>
  <si>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</si>
  <si>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</si>
  <si>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</si>
  <si>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</si>
  <si>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</si>
  <si>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</si>
  <si>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</si>
  <si>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</si>
  <si>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</si>
  <si>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</si>
  <si>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</si>
  <si>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</si>
  <si>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</si>
  <si>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</si>
  <si>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</si>
  <si>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</si>
  <si>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</si>
  <si>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</si>
  <si>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</si>
  <si>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</si>
  <si>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</si>
  <si>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</si>
  <si>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</si>
  <si>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</si>
  <si>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</si>
  <si>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</si>
  <si>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</si>
  <si>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</si>
  <si>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</si>
  <si>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</si>
  <si>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</si>
  <si>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</si>
  <si>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</si>
  <si>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</si>
  <si>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</si>
  <si>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</si>
  <si>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Reported capital expenditure averages 1.14% of revenue against depreciation and amortisation of 2.47%. A business cannot depreciate more than it invests indefinitely. Capex has been set to 2.47%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</si>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</sst>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0.05922582644665675</v>
      </c>
    </row>
    <row r="7" spans="1:2" x14ac:dyDescent="0.25">
      <c r="A7" t="s">
        <v>5</v>
      </c>
      <c r="B7" s="6">
        <v>0.05741107901091444</v>
      </c>
    </row>
    <row r="8" spans="1:2" x14ac:dyDescent="0.25">
      <c r="A8" t="s">
        <v>6</v>
      </c>
      <c r="B8" s="6">
        <v>0.2968914601502461</v>
      </c>
    </row>
    <row r="9" spans="1:2" x14ac:dyDescent="0.25">
      <c r="A9" t="s">
        <v>7</v>
      </c>
      <c r="B9" s="6">
        <v>0.024727316087450622</v>
      </c>
    </row>
    <row r="10" spans="1:2" x14ac:dyDescent="0.25">
      <c r="A10" t="s">
        <v>8</v>
      </c>
      <c r="B10" s="6">
        <v>0.024727316087450622</v>
      </c>
    </row>
    <row r="11" spans="1:2" x14ac:dyDescent="0.25">
      <c r="A11" t="s">
        <v>9</v>
      </c>
      <c r="B11" s="6">
        <v>-0.014044943820224719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10.556961506591337</v>
      </c>
    </row>
    <row r="14" spans="1:3" x14ac:dyDescent="0.25">
      <c r="A14" t="s">
        <v>12</v>
      </c>
      <c r="B14" s="6">
        <v>0.17584533632009644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0.58795</v>
      </c>
      <c r="C19" s="8" t="s">
        <v>19</v>
      </c>
    </row>
    <row r="20" spans="1:2" x14ac:dyDescent="0.25">
      <c r="A20" t="s">
        <v>20</v>
      </c>
      <c r="B20" s="10">
        <f>B17+B19*B18</f>
        <v>0.088757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4906946560</v>
      </c>
    </row>
    <row r="23" spans="1:2" x14ac:dyDescent="0.25">
      <c r="A23" t="s">
        <v>24</v>
      </c>
      <c r="B23" s="11">
        <v>935100000</v>
      </c>
    </row>
    <row r="24" spans="1:2" x14ac:dyDescent="0.25">
      <c r="A24" t="s">
        <v>25</v>
      </c>
      <c r="B24" s="10">
        <f>B22/(B22+B23)</f>
        <v>0.839936229470927</v>
      </c>
    </row>
    <row r="25" spans="1:2" x14ac:dyDescent="0.25">
      <c r="A25" t="s">
        <v>26</v>
      </c>
      <c r="B25" s="10">
        <f>1-B24</f>
        <v>0.16006377052907295</v>
      </c>
    </row>
    <row r="26" spans="1:2" x14ac:dyDescent="0.25">
      <c r="A26" t="s">
        <v>27</v>
      </c>
      <c r="B26" s="12">
        <f>B24*B20+B25*B21*(1-B8)</f>
        <v>0.080568976987977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6141100000</v>
      </c>
      <c r="C29" s="8" t="s">
        <v>30</v>
      </c>
    </row>
    <row r="30" spans="1:2" x14ac:dyDescent="0.25">
      <c r="A30" t="s">
        <v>31</v>
      </c>
      <c r="B30" s="11">
        <v>698800000</v>
      </c>
    </row>
    <row r="31" spans="1:2" x14ac:dyDescent="0.25">
      <c r="A31" t="s">
        <v>32</v>
      </c>
      <c r="B31" s="13">
        <v>850625000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0.05922582644665675</v>
      </c>
      <c r="C5" s="10">
        <f>Assumptions!B6</f>
        <v>0.05922582644665675</v>
      </c>
      <c r="D5" s="10">
        <f>Assumptions!B6</f>
        <v>0.05922582644665675</v>
      </c>
      <c r="E5" s="10">
        <f>Assumptions!B6</f>
        <v>0.05922582644665675</v>
      </c>
      <c r="F5" s="10">
        <f>Assumptions!B6</f>
        <v>0.05922582644665675</v>
      </c>
    </row>
    <row r="6" spans="1:6" x14ac:dyDescent="0.25">
      <c r="A6" t="s">
        <v>43</v>
      </c>
      <c r="B6" s="18">
        <f>Assumptions!B29*(1+B5)</f>
        <v>6504811722.791564</v>
      </c>
      <c r="C6" s="18">
        <f>B6*(1+C5)</f>
        <v>6890064572.953795</v>
      </c>
      <c r="D6" s="18">
        <f>C6*(1+D5)</f>
        <v>7298134341.557815</v>
      </c>
      <c r="E6" s="18">
        <f>D6*(1+E5)</f>
        <v>7730372379.455303</v>
      </c>
      <c r="F6" s="18">
        <f>E6*(1+F5)</f>
        <v>8188210072.368952</v>
      </c>
    </row>
    <row r="7" spans="1:6" x14ac:dyDescent="0.25">
      <c r="A7" t="s">
        <v>5</v>
      </c>
      <c r="B7" s="10">
        <f>Assumptions!B7</f>
        <v>0.05741107901091444</v>
      </c>
      <c r="C7" s="10">
        <f>Assumptions!B7</f>
        <v>0.05741107901091444</v>
      </c>
      <c r="D7" s="10">
        <f>Assumptions!B7</f>
        <v>0.05741107901091444</v>
      </c>
      <c r="E7" s="10">
        <f>Assumptions!B7</f>
        <v>0.05741107901091444</v>
      </c>
      <c r="F7" s="10">
        <f>Assumptions!B7</f>
        <v>0.05741107901091444</v>
      </c>
    </row>
    <row r="8" spans="1:6" x14ac:dyDescent="0.25">
      <c r="A8" t="s">
        <v>44</v>
      </c>
      <c r="B8" s="18">
        <f>B6*B7</f>
        <v>373448259.76830894</v>
      </c>
      <c r="C8" s="18">
        <f>C6*C7</f>
        <v>395566041.5881528</v>
      </c>
      <c r="D8" s="18">
        <f>D6*D7</f>
        <v>418993767.31544375</v>
      </c>
      <c r="E8" s="18">
        <f>E6*E7</f>
        <v>443809019.4606991</v>
      </c>
      <c r="F8" s="18">
        <f>F6*F7</f>
        <v>470093975.4227393</v>
      </c>
    </row>
    <row r="9" spans="1:6" x14ac:dyDescent="0.25">
      <c r="A9" t="s">
        <v>45</v>
      </c>
      <c r="B9" s="18">
        <f>B8*(1-Assumptions!B8)</f>
        <v>262574660.63512728</v>
      </c>
      <c r="C9" s="18">
        <f>C8*(1-Assumptions!B8)</f>
        <v>278125861.91519314</v>
      </c>
      <c r="D9" s="18">
        <f>D8*(1-Assumptions!B8)</f>
        <v>294598095.9433092</v>
      </c>
      <c r="E9" s="18">
        <f>E8*(1-Assumptions!B8)</f>
        <v>312045911.6451631</v>
      </c>
      <c r="F9" s="18">
        <f>F8*(1-Assumptions!B8)</f>
        <v>330527088.65164834</v>
      </c>
    </row>
    <row r="10" spans="1:6" x14ac:dyDescent="0.25">
      <c r="A10" t="s">
        <v>46</v>
      </c>
      <c r="B10" s="18">
        <f>B6*Assumptions!B9</f>
        <v>160846535.55882123</v>
      </c>
      <c r="C10" s="18">
        <f>C6*Assumptions!B9</f>
        <v>170372804.558374</v>
      </c>
      <c r="D10" s="18">
        <f>D6*Assumptions!B9</f>
        <v>180463274.7123784</v>
      </c>
      <c r="E10" s="18">
        <f>E6*Assumptions!B9</f>
        <v>191151361.30048907</v>
      </c>
      <c r="F10" s="18">
        <f>F6*Assumptions!B9</f>
        <v>202472458.649914</v>
      </c>
    </row>
    <row r="11" spans="1:6" x14ac:dyDescent="0.25">
      <c r="A11" t="s">
        <v>47</v>
      </c>
      <c r="B11" s="18">
        <f>-B6*Assumptions!B10</f>
        <v>-160846535.55882123</v>
      </c>
      <c r="C11" s="18">
        <f>-C6*Assumptions!B10</f>
        <v>-170372804.558374</v>
      </c>
      <c r="D11" s="18">
        <f>-D6*Assumptions!B10</f>
        <v>-180463274.7123784</v>
      </c>
      <c r="E11" s="18">
        <f>-E6*Assumptions!B10</f>
        <v>-191151361.30048907</v>
      </c>
      <c r="F11" s="18">
        <f>-F6*Assumptions!B10</f>
        <v>-202472458.649914</v>
      </c>
    </row>
    <row r="12" spans="1:6" x14ac:dyDescent="0.25">
      <c r="A12" t="s">
        <v>48</v>
      </c>
      <c r="B12" s="18">
        <f>-(B6-Assumptions!B29)*Assumptions!B11</f>
        <v>5108310.713364663</v>
      </c>
      <c r="C12" s="18">
        <f>-(C6-B6)*Assumptions!B11</f>
        <v>5410854.637109992</v>
      </c>
      <c r="D12" s="18">
        <f>-(D6-C6)*Assumptions!B11</f>
        <v>5731316.97477555</v>
      </c>
      <c r="E12" s="18">
        <f>-(E6-D6)*Assumptions!B11</f>
        <v>6070758.95923439</v>
      </c>
      <c r="F12" s="18">
        <f>-(F6-E6)*Assumptions!B11</f>
        <v>6430304.675753492</v>
      </c>
    </row>
    <row r="13" spans="1:6" x14ac:dyDescent="0.25">
      <c r="A13" s="19" t="s">
        <v>49</v>
      </c>
      <c r="B13" s="20">
        <f>B9+B10+B11+B12</f>
        <v>267682971.34849194</v>
      </c>
      <c r="C13" s="20">
        <f>C9+C10+C11+C12</f>
        <v>283536716.55230314</v>
      </c>
      <c r="D13" s="20">
        <f>D9+D10+D11+D12</f>
        <v>300329412.91808474</v>
      </c>
      <c r="E13" s="20">
        <f>E9+E10+E11+E12</f>
        <v>318116670.60439754</v>
      </c>
      <c r="F13" s="20">
        <f>F9+F10+F11+F12</f>
        <v>336957393.32740176</v>
      </c>
    </row>
    <row r="14" spans="1:6" x14ac:dyDescent="0.25">
      <c r="A14" t="s">
        <v>50</v>
      </c>
      <c r="B14" s="21">
        <f>1/(1+Assumptions!$B$26)^(1-0.5*Assumptions!$B$32)</f>
        <v>0.9619970772939425</v>
      </c>
      <c r="C14" s="21">
        <f>1/(1+Assumptions!$B$26)^(2-0.5*Assumptions!$B$32)</f>
        <v>0.8902690136222986</v>
      </c>
      <c r="D14" s="21">
        <f>1/(1+Assumptions!$B$26)^(3-0.5*Assumptions!$B$32)</f>
        <v>0.8238891108125938</v>
      </c>
      <c r="E14" s="21">
        <f>1/(1+Assumptions!$B$26)^(4-0.5*Assumptions!$B$32)</f>
        <v>0.7624586013094109</v>
      </c>
      <c r="F14" s="21">
        <f>1/(1+Assumptions!$B$26)^(5-0.5*Assumptions!$B$32)</f>
        <v>0.7056084503135743</v>
      </c>
    </row>
    <row r="15" spans="1:6" x14ac:dyDescent="0.25">
      <c r="A15" s="19" t="s">
        <v>51</v>
      </c>
      <c r="B15" s="20">
        <f>B13*B14</f>
        <v>257510236.07860738</v>
      </c>
      <c r="C15" s="20">
        <f>C13*C14</f>
        <v>252423952.97072417</v>
      </c>
      <c r="D15" s="20">
        <f>D13*D14</f>
        <v>247438132.95994914</v>
      </c>
      <c r="E15" s="20">
        <f>E13*E14</f>
        <v>242550791.72223553</v>
      </c>
      <c r="F15" s="20">
        <f>F13*F14</f>
        <v>237759984.12744948</v>
      </c>
    </row>
    <row r="17" spans="1:2" x14ac:dyDescent="0.25">
      <c r="A17" s="22" t="s">
        <v>52</v>
      </c>
      <c r="B17" s="23">
        <f>SUM(B15:F15)</f>
        <v>1237683097.8589656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336957393.32740176</v>
      </c>
    </row>
    <row r="5" spans="1:2" x14ac:dyDescent="0.25">
      <c r="A5" t="s">
        <v>56</v>
      </c>
      <c r="B5" s="18">
        <f>IF(Assumptions!$B$33=0,B4,B4-Forecast!F11-Forecast!F10-Forecast!F12)</f>
        <v>330527088.65164834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0.14217038974802132</v>
      </c>
    </row>
    <row r="7" spans="1:2" x14ac:dyDescent="0.25">
      <c r="A7" t="s">
        <v>58</v>
      </c>
      <c r="B7" s="18">
        <f>-MAX(Forecast!F9,0)*B6</f>
        <v>-46991165.01588364</v>
      </c>
    </row>
    <row r="8" spans="1:2" x14ac:dyDescent="0.25">
      <c r="A8" t="s">
        <v>59</v>
      </c>
      <c r="B8" s="18">
        <f>IF(OR(Assumptions!$B$33=0,Assumptions!B12&lt;=0),B5,MAX(B5+B7,0))</f>
        <v>283535923.6357647</v>
      </c>
    </row>
    <row r="9" spans="1:2" x14ac:dyDescent="0.25">
      <c r="A9" t="s">
        <v>60</v>
      </c>
      <c r="B9" s="18">
        <f>B8*(1+Assumptions!B12)/(Assumptions!B26-Assumptions!B12)</f>
        <v>5229974303.639579</v>
      </c>
    </row>
    <row r="10" spans="1:2" x14ac:dyDescent="0.25">
      <c r="A10" t="s">
        <v>61</v>
      </c>
      <c r="B10" s="18">
        <f>B9/(1+Assumptions!B26)^(5-0.5*Assumptions!B32)</f>
        <v>3690314063.570938</v>
      </c>
    </row>
    <row r="11" spans="1:2" x14ac:dyDescent="0.25">
      <c r="A11" t="s">
        <v>62</v>
      </c>
      <c r="B11" s="18">
        <f>Forecast!B17+B10</f>
        <v>4927997161.429904</v>
      </c>
    </row>
    <row r="12" spans="1:2" x14ac:dyDescent="0.25">
      <c r="A12" t="s">
        <v>63</v>
      </c>
      <c r="B12" s="18">
        <f>-Assumptions!B30</f>
        <v>-698800000</v>
      </c>
    </row>
    <row r="13" spans="1:2" x14ac:dyDescent="0.25">
      <c r="A13" t="s">
        <v>64</v>
      </c>
      <c r="B13" s="18">
        <f>B11+B12</f>
        <v>4229197161.429904</v>
      </c>
    </row>
    <row r="14" spans="1:2" x14ac:dyDescent="0.25">
      <c r="A14" s="19" t="s">
        <v>65</v>
      </c>
      <c r="B14" s="24">
        <f>B13/Assumptions!B31</f>
        <v>4.971870285295993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672566434.0726533</v>
      </c>
    </row>
    <row r="18" spans="1:2" x14ac:dyDescent="0.25">
      <c r="A18" t="s">
        <v>60</v>
      </c>
      <c r="B18" s="18">
        <f>B17*Assumptions!B13</f>
        <v>7100257955.130402</v>
      </c>
    </row>
    <row r="19" spans="1:2" x14ac:dyDescent="0.25">
      <c r="A19" t="s">
        <v>61</v>
      </c>
      <c r="B19" s="18">
        <f>B18/(1+Assumptions!B26)^(5-0.5*Assumptions!B32)</f>
        <v>5010002012.546191</v>
      </c>
    </row>
    <row r="20" spans="1:2" x14ac:dyDescent="0.25">
      <c r="A20" t="s">
        <v>62</v>
      </c>
      <c r="B20" s="18">
        <f>Forecast!B17+B19</f>
        <v>6247685110.405157</v>
      </c>
    </row>
    <row r="21" spans="1:2" x14ac:dyDescent="0.25">
      <c r="A21" t="s">
        <v>63</v>
      </c>
      <c r="B21" s="18">
        <f>-Assumptions!B30</f>
        <v>-698800000</v>
      </c>
    </row>
    <row r="22" spans="1:2" x14ac:dyDescent="0.25">
      <c r="A22" t="s">
        <v>64</v>
      </c>
      <c r="B22" s="18">
        <f>B20+B21</f>
        <v>5548885110.405157</v>
      </c>
    </row>
    <row r="23" spans="1:2" x14ac:dyDescent="0.25">
      <c r="A23" s="19" t="s">
        <v>65</v>
      </c>
      <c r="B23" s="25">
        <f>B22/Assumptions!B31</f>
        <v>6.523303583136114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4.971870285295993</v>
      </c>
    </row>
    <row r="29" spans="1:2" x14ac:dyDescent="0.25">
      <c r="A29" s="19" t="s">
        <v>73</v>
      </c>
      <c r="B29" s="12">
        <f>B28/B26-1</f>
        <v>-0.17135495245066779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0.060569</v>
      </c>
      <c r="B5" s="31">
        <v>6.7784817439215495</v>
      </c>
      <c r="C5" s="31">
        <v>7.3477488031651506</v>
      </c>
      <c r="D5" s="31">
        <v>8.074677678151255</v>
      </c>
      <c r="E5" s="31">
        <v>9.036631947542478</v>
      </c>
      <c r="F5" s="31">
        <v>10.37148876398761</v>
      </c>
    </row>
    <row r="6" spans="1:6" x14ac:dyDescent="0.25">
      <c r="A6" s="30">
        <v>0.070569</v>
      </c>
      <c r="B6" s="31">
        <v>5.443853416752361</v>
      </c>
      <c r="C6" s="31">
        <v>5.7780222650131305</v>
      </c>
      <c r="D6" s="31">
        <v>6.183739700141699</v>
      </c>
      <c r="E6" s="31">
        <v>6.687460128286039</v>
      </c>
      <c r="F6" s="31">
        <v>7.330512934450976</v>
      </c>
    </row>
    <row r="7" spans="1:6" x14ac:dyDescent="0.25">
      <c r="A7" s="30">
        <v>0.080569</v>
      </c>
      <c r="B7" s="31">
        <v>4.515712812221983</v>
      </c>
      <c r="C7" s="31">
        <v>4.725606053332493</v>
      </c>
      <c r="D7" s="32">
        <v>4.971867996724958</v>
      </c>
      <c r="E7" s="31">
        <v>5.2652864874077725</v>
      </c>
      <c r="F7" s="31">
        <v>5.621384100143496</v>
      </c>
    </row>
    <row r="8" spans="1:6" x14ac:dyDescent="0.25">
      <c r="A8" s="30">
        <v>0.090569</v>
      </c>
      <c r="B8" s="31">
        <v>3.832721995726897</v>
      </c>
      <c r="C8" s="31">
        <v>3.9706360716440043</v>
      </c>
      <c r="D8" s="31">
        <v>4.128442877221381</v>
      </c>
      <c r="E8" s="31">
        <v>4.311068875582142</v>
      </c>
      <c r="F8" s="31">
        <v>4.525213627484098</v>
      </c>
    </row>
    <row r="9" spans="1:6" x14ac:dyDescent="0.25">
      <c r="A9" s="30">
        <v>0.100569</v>
      </c>
      <c r="B9" s="31">
        <v>3.3089597811064473</v>
      </c>
      <c r="C9" s="31">
        <v>3.402400646528943</v>
      </c>
      <c r="D9" s="31">
        <v>3.507256565914714</v>
      </c>
      <c r="E9" s="31">
        <v>3.6259538994140974</v>
      </c>
      <c r="F9" s="31">
        <v>3.7616591008651015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6141100000</v>
      </c>
      <c r="C5" s="18">
        <v>6105500000</v>
      </c>
      <c r="D5" s="18">
        <v>5676400000</v>
      </c>
      <c r="E5" s="18">
        <v>5167500000</v>
      </c>
      <c r="F5" s="8" t="s">
        <v>84</v>
      </c>
    </row>
    <row r="6" spans="1:6" x14ac:dyDescent="0.25">
      <c r="A6" t="s">
        <v>44</v>
      </c>
      <c r="B6" s="18">
        <v>409700000</v>
      </c>
      <c r="C6" s="18">
        <v>357600000</v>
      </c>
      <c r="D6" s="18">
        <v>315900000</v>
      </c>
      <c r="E6" s="18">
        <v>251700000</v>
      </c>
      <c r="F6" s="8" t="s">
        <v>85</v>
      </c>
    </row>
    <row r="7" spans="1:6" x14ac:dyDescent="0.25">
      <c r="A7" t="s">
        <v>86</v>
      </c>
      <c r="B7" s="18">
        <v>121300000</v>
      </c>
      <c r="C7" s="18">
        <v>138600000</v>
      </c>
      <c r="D7" s="18">
        <v>145700000</v>
      </c>
      <c r="E7" s="18">
        <v>159100000</v>
      </c>
      <c r="F7" s="8" t="s">
        <v>87</v>
      </c>
    </row>
    <row r="8" spans="1:6" x14ac:dyDescent="0.25">
      <c r="A8" t="s">
        <v>88</v>
      </c>
      <c r="B8" s="18">
        <v>110100000</v>
      </c>
      <c r="C8" s="18">
        <v>69000000</v>
      </c>
      <c r="D8" s="18">
        <v>50900000</v>
      </c>
      <c r="E8" s="18">
        <v>38400000</v>
      </c>
      <c r="F8" s="8" t="s">
        <v>89</v>
      </c>
    </row>
    <row r="9" spans="1:6" x14ac:dyDescent="0.25">
      <c r="A9" t="s">
        <v>90</v>
      </c>
      <c r="B9" s="18">
        <v>-500000</v>
      </c>
      <c r="C9" s="18">
        <v>57300000</v>
      </c>
      <c r="D9" s="18">
        <v>-493800000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935100000</v>
      </c>
      <c r="C10" s="18">
        <v>887500000</v>
      </c>
      <c r="D10" s="18">
        <v>879300000</v>
      </c>
      <c r="E10" s="18">
        <v>1622300000</v>
      </c>
      <c r="F10" s="8" t="s">
        <v>93</v>
      </c>
    </row>
    <row r="11" spans="1:6" x14ac:dyDescent="0.25">
      <c r="A11" t="s">
        <v>94</v>
      </c>
      <c r="B11" s="18">
        <v>236300000</v>
      </c>
      <c r="C11" s="18">
        <v>392800000</v>
      </c>
      <c r="D11" s="18">
        <v>338700000</v>
      </c>
      <c r="E11" s="18">
        <v>280000000</v>
      </c>
      <c r="F11" s="8" t="s">
        <v>95</v>
      </c>
    </row>
    <row r="12" spans="1:6" x14ac:dyDescent="0.25">
      <c r="A12" t="s">
        <v>32</v>
      </c>
      <c r="B12" s="34">
        <v>850625000</v>
      </c>
      <c r="C12" s="34">
        <v>864207221</v>
      </c>
      <c r="D12" s="34">
        <v>862335302</v>
      </c>
      <c r="E12" s="34">
        <v>858939802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70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2026-09-19T00:06:58Z</dcterms:modified>
</cp:coreProperties>
</file>