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<sst xmlns="http://schemas.openxmlformats.org/spreadsheetml/2006/main" count="122" uniqueCount="102">
  <si>
    <t>Volkswagen AG (VOW.DE)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</si>
  <si>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</si>
  <si>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</si>
  <si>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</si>
  <si>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</si>
  <si>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</si>
  <si>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</si>
  <si>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</si>
  <si>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</si>
  <si>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</si>
  <si>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</si>
  <si>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</si>
  <si>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</si>
  <si>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</si>
  <si>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</si>
  <si>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</si>
  <si>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</si>
  <si>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</si>
  <si>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</si>
  <si>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</si>
  <si>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</si>
  <si>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</si>
  <si>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</si>
  <si>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</si>
  <si>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</si>
  <si>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</si>
  <si>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</si>
  <si>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</si>
  <si>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</si>
  <si>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</si>
  <si>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</si>
  <si>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</si>
  <si>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</si>
  <si>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</si>
  <si>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</si>
  <si>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</si>
  <si>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</si>
  <si>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</si>
  <si>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</si>
  <si>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</si>
  <si>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</si>
  <si>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</si>
  <si>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</si>
  <si>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</si>
  <si>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</si>
  <si>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</si>
  <si>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</si>
  <si>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</si>
  <si>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</si>
  <si>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</si>
  <si>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</si>
  <si>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</si>
  <si>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</si>
  <si>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</si>
  <si>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</si>
  <si>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</si>
  <si>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</si>
  <si>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</si>
  <si>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</si>
  <si>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</si>
  <si>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</si>
  <si>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</si>
  <si>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</si>
  <si>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</si>
  <si>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</si>
  <si>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</si>
  <si>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</si>
  <si>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</si>
  <si>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</si>
  <si>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</si>
  <si>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</si>
  <si>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</si>
  <si>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</si>
  <si>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</si>
  <si>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</si>
  <si>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</si>
  <si>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</si>
  <si>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</si>
  <si>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</si>
  <si>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</si>
  <si>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</si>
  <si>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</si>
  <si>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</si>
  <si>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</si>
  <si>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</si>
  <si>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</si>
  <si>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</si>
  <si>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</si>
  <si>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</si>
  <si>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</si>
  <si>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</si>
  <si>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</si>
  <si>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</si>
  <si>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</si>
  <si>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</si>
  <si>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</si>
  <si>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</si>
  <si>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</si>
  <si>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</si>
  <si>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44.8x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</si>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</sst>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0.04878265476236421</v>
      </c>
    </row>
    <row r="7" spans="1:2" x14ac:dyDescent="0.25">
      <c r="A7" t="s">
        <v>5</v>
      </c>
      <c r="B7" s="6">
        <v>0.061563421168932916</v>
      </c>
    </row>
    <row r="8" spans="1:2" x14ac:dyDescent="0.25">
      <c r="A8" t="s">
        <v>6</v>
      </c>
      <c r="B8" s="6">
        <v>0.2603292720839172</v>
      </c>
    </row>
    <row r="9" spans="1:2" x14ac:dyDescent="0.25">
      <c r="A9" t="s">
        <v>7</v>
      </c>
      <c r="B9" s="6">
        <v>0.10011238459342896</v>
      </c>
    </row>
    <row r="10" spans="1:2" x14ac:dyDescent="0.25">
      <c r="A10" t="s">
        <v>8</v>
      </c>
      <c r="B10" s="6">
        <v>0.08036242738425425</v>
      </c>
    </row>
    <row r="11" spans="1:2" x14ac:dyDescent="0.25">
      <c r="A11" t="s">
        <v>9</v>
      </c>
      <c r="B11" s="6">
        <v>0.6647777212379146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3.331542559508999</v>
      </c>
    </row>
    <row r="14" spans="1:3" x14ac:dyDescent="0.25">
      <c r="A14" t="s">
        <v>12</v>
      </c>
      <c r="B14" s="6">
        <v>0.041822608669380985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0.99531</v>
      </c>
      <c r="C19" s="8" t="s">
        <v>19</v>
      </c>
    </row>
    <row r="20" spans="1:2" x14ac:dyDescent="0.25">
      <c r="A20" t="s">
        <v>20</v>
      </c>
      <c r="B20" s="10">
        <f>B17+B19*B18</f>
        <v>0.08571859999999999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38173634560</v>
      </c>
    </row>
    <row r="23" spans="1:2" x14ac:dyDescent="0.25">
      <c r="A23" t="s">
        <v>24</v>
      </c>
      <c r="B23" s="11">
        <v>196357000000</v>
      </c>
    </row>
    <row r="24" spans="1:2" x14ac:dyDescent="0.25">
      <c r="A24" t="s">
        <v>25</v>
      </c>
      <c r="B24" s="10">
        <f>B22/(B22+B23)</f>
        <v>0.16276609079925564</v>
      </c>
    </row>
    <row r="25" spans="1:2" x14ac:dyDescent="0.25">
      <c r="A25" t="s">
        <v>26</v>
      </c>
      <c r="B25" s="10">
        <f>1-B24</f>
        <v>0.8372339092007444</v>
      </c>
    </row>
    <row r="26" spans="1:2" x14ac:dyDescent="0.25">
      <c r="A26" t="s">
        <v>27</v>
      </c>
      <c r="B26" s="12">
        <f>B24*B20+B25*B21*(1-B8)</f>
        <v>0.030053294222203167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321913000000</v>
      </c>
      <c r="C29" s="8" t="s">
        <v>30</v>
      </c>
    </row>
    <row r="30" spans="1:2" x14ac:dyDescent="0.25">
      <c r="A30" t="s">
        <v>31</v>
      </c>
      <c r="B30" s="11">
        <v>122500000000</v>
      </c>
    </row>
    <row r="31" spans="1:2" x14ac:dyDescent="0.25">
      <c r="A31" t="s">
        <v>32</v>
      </c>
      <c r="B31" s="13">
        <v>501295263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0.04878265476236421</v>
      </c>
      <c r="C5" s="10">
        <f>Assumptions!B6</f>
        <v>0.04878265476236421</v>
      </c>
      <c r="D5" s="10">
        <f>Assumptions!B6</f>
        <v>0.04878265476236421</v>
      </c>
      <c r="E5" s="10">
        <f>Assumptions!B6</f>
        <v>0.04878265476236421</v>
      </c>
      <c r="F5" s="10">
        <f>Assumptions!B6</f>
        <v>0.04878265476236421</v>
      </c>
    </row>
    <row r="6" spans="1:6" x14ac:dyDescent="0.25">
      <c r="A6" t="s">
        <v>43</v>
      </c>
      <c r="B6" s="18">
        <f>Assumptions!B29*(1+B5)</f>
        <v>337616770742.51697</v>
      </c>
      <c r="C6" s="18">
        <f>B6*(1+C5)</f>
        <v>354086613111.6334</v>
      </c>
      <c r="D6" s="18">
        <f>C6*(1+D5)</f>
        <v>371359898115.0331</v>
      </c>
      <c r="E6" s="18">
        <f>D6*(1+E5)</f>
        <v>389475819817.3655</v>
      </c>
      <c r="F6" s="18">
        <f>E6*(1+F5)</f>
        <v>408475484273.8048</v>
      </c>
    </row>
    <row r="7" spans="1:6" x14ac:dyDescent="0.25">
      <c r="A7" t="s">
        <v>5</v>
      </c>
      <c r="B7" s="10">
        <f>Assumptions!B7</f>
        <v>0.061563421168932916</v>
      </c>
      <c r="C7" s="10">
        <f>Assumptions!B7</f>
        <v>0.061563421168932916</v>
      </c>
      <c r="D7" s="10">
        <f>Assumptions!B7</f>
        <v>0.061563421168932916</v>
      </c>
      <c r="E7" s="10">
        <f>Assumptions!B7</f>
        <v>0.061563421168932916</v>
      </c>
      <c r="F7" s="10">
        <f>Assumptions!B7</f>
        <v>0.061563421168932916</v>
      </c>
    </row>
    <row r="8" spans="1:6" x14ac:dyDescent="0.25">
      <c r="A8" t="s">
        <v>44</v>
      </c>
      <c r="B8" s="18">
        <f>B6*B7</f>
        <v>20784843450.91664</v>
      </c>
      <c r="C8" s="18">
        <f>C6*C7</f>
        <v>21798783293.27249</v>
      </c>
      <c r="D8" s="18">
        <f>D6*D7</f>
        <v>22862185812.9078</v>
      </c>
      <c r="E8" s="18">
        <f>E6*E7</f>
        <v>23977463930.5319</v>
      </c>
      <c r="F8" s="18">
        <f>F6*F7</f>
        <v>25147148275.532078</v>
      </c>
    </row>
    <row r="9" spans="1:6" x14ac:dyDescent="0.25">
      <c r="A9" t="s">
        <v>45</v>
      </c>
      <c r="B9" s="18">
        <f>B8*(1-Assumptions!B8)</f>
        <v>15373940284.961338</v>
      </c>
      <c r="C9" s="18">
        <f>C8*(1-Assumptions!B8)</f>
        <v>16123921906.219809</v>
      </c>
      <c r="D9" s="18">
        <f>D8*(1-Assumptions!B8)</f>
        <v>16910489621.986252</v>
      </c>
      <c r="E9" s="18">
        <f>E8*(1-Assumptions!B8)</f>
        <v>17735428199.078148</v>
      </c>
      <c r="F9" s="18">
        <f>F8*(1-Assumptions!B8)</f>
        <v>18600609469.97648</v>
      </c>
    </row>
    <row r="10" spans="1:6" x14ac:dyDescent="0.25">
      <c r="A10" t="s">
        <v>46</v>
      </c>
      <c r="B10" s="18">
        <f>B6*Assumptions!B9</f>
        <v>33799619997.76639</v>
      </c>
      <c r="C10" s="18">
        <f>C6*Assumptions!B9</f>
        <v>35448455191.21653</v>
      </c>
      <c r="D10" s="18">
        <f>D6*Assumptions!B9</f>
        <v>37177724942.668785</v>
      </c>
      <c r="E10" s="18">
        <f>E6*Assumptions!B9</f>
        <v>38991353063.39713</v>
      </c>
      <c r="F10" s="18">
        <f>F6*Assumptions!B9</f>
        <v>40893454778.60629</v>
      </c>
    </row>
    <row r="11" spans="1:6" x14ac:dyDescent="0.25">
      <c r="A11" t="s">
        <v>47</v>
      </c>
      <c r="B11" s="18">
        <f>-B6*Assumptions!B10</f>
        <v>-27131703222.501934</v>
      </c>
      <c r="C11" s="18">
        <f>-C6*Assumptions!B10</f>
        <v>-28455259733.92017</v>
      </c>
      <c r="D11" s="18">
        <f>-D6*Assumptions!B10</f>
        <v>-29843382845.693405</v>
      </c>
      <c r="E11" s="18">
        <f>-E6*Assumptions!B10</f>
        <v>-31299222287.995926</v>
      </c>
      <c r="F11" s="18">
        <f>-F6*Assumptions!B10</f>
        <v>-32826081443.20173</v>
      </c>
    </row>
    <row r="12" spans="1:6" x14ac:dyDescent="0.25">
      <c r="A12" t="s">
        <v>48</v>
      </c>
      <c r="B12" s="18">
        <f>-(B6-Assumptions!B29)*Assumptions!B11</f>
        <v>-10439516929.053064</v>
      </c>
      <c r="C12" s="18">
        <f>-(C6-B6)*Assumptions!B11</f>
        <v>-10948784279.288893</v>
      </c>
      <c r="D12" s="18">
        <f>-(D6-C6)*Assumptions!B11</f>
        <v>-11482895042.853067</v>
      </c>
      <c r="E12" s="18">
        <f>-(E6-D6)*Assumptions!B11</f>
        <v>-12043061147.401012</v>
      </c>
      <c r="F12" s="18">
        <f>-(F6-E6)*Assumptions!B11</f>
        <v>-12630553641.63674</v>
      </c>
    </row>
    <row r="13" spans="1:6" x14ac:dyDescent="0.25">
      <c r="A13" s="19" t="s">
        <v>49</v>
      </c>
      <c r="B13" s="20">
        <f>B9+B10+B11+B12</f>
        <v>11602340131.172731</v>
      </c>
      <c r="C13" s="20">
        <f>C9+C10+C11+C12</f>
        <v>12168333084.227278</v>
      </c>
      <c r="D13" s="20">
        <f>D9+D10+D11+D12</f>
        <v>12761936676.108564</v>
      </c>
      <c r="E13" s="20">
        <f>E9+E10+E11+E12</f>
        <v>13384497827.078342</v>
      </c>
      <c r="F13" s="20">
        <f>F9+F10+F11+F12</f>
        <v>14037429163.744303</v>
      </c>
    </row>
    <row r="14" spans="1:6" x14ac:dyDescent="0.25">
      <c r="A14" t="s">
        <v>50</v>
      </c>
      <c r="B14" s="21">
        <f>1/(1+Assumptions!$B$26)^(1-0.5*Assumptions!$B$32)</f>
        <v>0.9853037877178066</v>
      </c>
      <c r="C14" s="21">
        <f>1/(1+Assumptions!$B$26)^(2-0.5*Assumptions!$B$32)</f>
        <v>0.9565561250515808</v>
      </c>
      <c r="D14" s="21">
        <f>1/(1+Assumptions!$B$26)^(3-0.5*Assumptions!$B$32)</f>
        <v>0.9286472170101449</v>
      </c>
      <c r="E14" s="21">
        <f>1/(1+Assumptions!$B$26)^(4-0.5*Assumptions!$B$32)</f>
        <v>0.9015525917145575</v>
      </c>
      <c r="F14" s="21">
        <f>1/(1+Assumptions!$B$26)^(5-0.5*Assumptions!$B$32)</f>
        <v>0.8752484912883298</v>
      </c>
    </row>
    <row r="15" spans="1:6" x14ac:dyDescent="0.25">
      <c r="A15" s="19" t="s">
        <v>51</v>
      </c>
      <c r="B15" s="20">
        <f>B13*B14</f>
        <v>11431829677.634806</v>
      </c>
      <c r="C15" s="20">
        <f>C13*C14</f>
        <v>11639693543.385397</v>
      </c>
      <c r="D15" s="20">
        <f>D13*D14</f>
        <v>11851336977.927917</v>
      </c>
      <c r="E15" s="20">
        <f>E13*E14</f>
        <v>12066828704.800343</v>
      </c>
      <c r="F15" s="20">
        <f>F13*F14</f>
        <v>12286238697.134003</v>
      </c>
    </row>
    <row r="17" spans="1:2" x14ac:dyDescent="0.25">
      <c r="A17" s="22" t="s">
        <v>52</v>
      </c>
      <c r="B17" s="23">
        <f>SUM(B15:F15)</f>
        <v>59275927600.88246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14037429163.744303</v>
      </c>
    </row>
    <row r="5" spans="1:2" x14ac:dyDescent="0.25">
      <c r="A5" t="s">
        <v>56</v>
      </c>
      <c r="B5" s="18">
        <f>IF(Assumptions!$B$33=0,B4,B4-Forecast!F11-Forecast!F10-Forecast!F12)</f>
        <v>24848021178.629364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0.5977628080933868</v>
      </c>
    </row>
    <row r="7" spans="1:2" x14ac:dyDescent="0.25">
      <c r="A7" t="s">
        <v>58</v>
      </c>
      <c r="B7" s="18">
        <f>-MAX(Forecast!F9,0)*B6</f>
        <v>-14853222915.301435</v>
      </c>
    </row>
    <row r="8" spans="1:2" x14ac:dyDescent="0.25">
      <c r="A8" t="s">
        <v>59</v>
      </c>
      <c r="B8" s="18">
        <f>IF(OR(Assumptions!$B$33=0,Assumptions!B12&lt;=0),B5,MAX(B5+B7,0))</f>
        <v>9994798263.327929</v>
      </c>
    </row>
    <row r="9" spans="1:2" x14ac:dyDescent="0.25">
      <c r="A9" t="s">
        <v>60</v>
      </c>
      <c r="B9" s="18">
        <f>B8*(1+Assumptions!B12)/(Assumptions!B26-Assumptions!B12)</f>
        <v>2027324705317.5925</v>
      </c>
    </row>
    <row r="10" spans="1:2" x14ac:dyDescent="0.25">
      <c r="A10" t="s">
        <v>61</v>
      </c>
      <c r="B10" s="18">
        <f>B9/(1+Assumptions!B26)^(5-0.5*Assumptions!B32)</f>
        <v>1774412889680.7808</v>
      </c>
    </row>
    <row r="11" spans="1:2" x14ac:dyDescent="0.25">
      <c r="A11" t="s">
        <v>62</v>
      </c>
      <c r="B11" s="18">
        <f>Forecast!B17+B10</f>
        <v>1833688817281.6633</v>
      </c>
    </row>
    <row r="12" spans="1:2" x14ac:dyDescent="0.25">
      <c r="A12" t="s">
        <v>63</v>
      </c>
      <c r="B12" s="18">
        <f>-Assumptions!B30</f>
        <v>-122500000000</v>
      </c>
    </row>
    <row r="13" spans="1:2" x14ac:dyDescent="0.25">
      <c r="A13" t="s">
        <v>64</v>
      </c>
      <c r="B13" s="18">
        <f>B11+B12</f>
        <v>1711188817281.6633</v>
      </c>
    </row>
    <row r="14" spans="1:2" x14ac:dyDescent="0.25">
      <c r="A14" s="19" t="s">
        <v>65</v>
      </c>
      <c r="B14" s="24">
        <f>B13/Assumptions!B31</f>
        <v>3413.5347839535907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66040603054.13837</v>
      </c>
    </row>
    <row r="18" spans="1:2" x14ac:dyDescent="0.25">
      <c r="A18" t="s">
        <v>60</v>
      </c>
      <c r="B18" s="18">
        <f>B17*Assumptions!B13</f>
        <v>220017079730.50195</v>
      </c>
    </row>
    <row r="19" spans="1:2" x14ac:dyDescent="0.25">
      <c r="A19" t="s">
        <v>61</v>
      </c>
      <c r="B19" s="18">
        <f>B18/(1+Assumptions!B26)^(5-0.5*Assumptions!B32)</f>
        <v>192569617091.786</v>
      </c>
    </row>
    <row r="20" spans="1:2" x14ac:dyDescent="0.25">
      <c r="A20" t="s">
        <v>62</v>
      </c>
      <c r="B20" s="18">
        <f>Forecast!B17+B19</f>
        <v>251845544692.66846</v>
      </c>
    </row>
    <row r="21" spans="1:2" x14ac:dyDescent="0.25">
      <c r="A21" t="s">
        <v>63</v>
      </c>
      <c r="B21" s="18">
        <f>-Assumptions!B30</f>
        <v>-122500000000</v>
      </c>
    </row>
    <row r="22" spans="1:2" x14ac:dyDescent="0.25">
      <c r="A22" t="s">
        <v>64</v>
      </c>
      <c r="B22" s="18">
        <f>B20+B21</f>
        <v>129345544692.66846</v>
      </c>
    </row>
    <row r="23" spans="1:2" x14ac:dyDescent="0.25">
      <c r="A23" s="19" t="s">
        <v>65</v>
      </c>
      <c r="B23" s="25">
        <f>B22/Assumptions!B31</f>
        <v>258.0226749373222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3413.5347839535907</v>
      </c>
    </row>
    <row r="29" spans="1:2" x14ac:dyDescent="0.25">
      <c r="A29" s="19" t="s">
        <v>73</v>
      </c>
      <c r="B29" s="12">
        <f>B28/B26-1</f>
        <v>43.826458095253976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0.010053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0.020053</v>
      </c>
      <c r="B6" s="31">
        <v>5716.713407627878</v>
      </c>
      <c r="C6" s="31">
        <v>455090.98601882264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0.030053</v>
      </c>
      <c r="B7" s="31">
        <v>1750.0090272134053</v>
      </c>
      <c r="C7" s="31">
        <v>2170.715645480739</v>
      </c>
      <c r="D7" s="32">
        <v>3413.7455240298013</v>
      </c>
      <c r="E7" s="31">
        <v>238212.09685579856</v>
      </c>
      <c r="F7" s="31" t="s">
        <v>76</v>
      </c>
    </row>
    <row r="8" spans="1:6" x14ac:dyDescent="0.25">
      <c r="A8" s="30">
        <v>0.040053</v>
      </c>
      <c r="B8" s="31">
        <v>950.3339038384327</v>
      </c>
      <c r="C8" s="31">
        <v>973.492777237958</v>
      </c>
      <c r="D8" s="31">
        <v>1008.737523700503</v>
      </c>
      <c r="E8" s="31">
        <v>1074.1013766832739</v>
      </c>
      <c r="F8" s="31">
        <v>1258.9939142197936</v>
      </c>
    </row>
    <row r="9" spans="1:6" x14ac:dyDescent="0.25">
      <c r="A9" s="30">
        <v>0.050053</v>
      </c>
      <c r="B9" s="31">
        <v>675.1249462372397</v>
      </c>
      <c r="C9" s="31">
        <v>679.0994929832515</v>
      </c>
      <c r="D9" s="31">
        <v>683.0740397292628</v>
      </c>
      <c r="E9" s="31">
        <v>687.0485864752748</v>
      </c>
      <c r="F9" s="31">
        <v>691.0231332212865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321913000000</v>
      </c>
      <c r="C5" s="18">
        <v>324655000000</v>
      </c>
      <c r="D5" s="18">
        <v>322284000000</v>
      </c>
      <c r="E5" s="18">
        <v>279050000000</v>
      </c>
      <c r="F5" s="8" t="s">
        <v>85</v>
      </c>
    </row>
    <row r="6" spans="1:6" x14ac:dyDescent="0.25">
      <c r="A6" t="s">
        <v>44</v>
      </c>
      <c r="B6" s="18">
        <v>10794000000</v>
      </c>
      <c r="C6" s="18">
        <v>21664000000</v>
      </c>
      <c r="D6" s="18">
        <v>25699000000</v>
      </c>
      <c r="E6" s="18">
        <v>18488000000</v>
      </c>
      <c r="F6" s="8" t="s">
        <v>86</v>
      </c>
    </row>
    <row r="7" spans="1:6" x14ac:dyDescent="0.25">
      <c r="A7" t="s">
        <v>87</v>
      </c>
      <c r="B7" s="18">
        <v>37434000000</v>
      </c>
      <c r="C7" s="18">
        <v>31346000000</v>
      </c>
      <c r="D7" s="18">
        <v>27566000000</v>
      </c>
      <c r="E7" s="18">
        <v>28485000000</v>
      </c>
      <c r="F7" s="8" t="s">
        <v>88</v>
      </c>
    </row>
    <row r="8" spans="1:6" x14ac:dyDescent="0.25">
      <c r="A8" t="s">
        <v>89</v>
      </c>
      <c r="B8" s="18">
        <v>24346000000</v>
      </c>
      <c r="C8" s="18">
        <v>27446000000</v>
      </c>
      <c r="D8" s="18">
        <v>25795000000</v>
      </c>
      <c r="E8" s="18">
        <v>22671000000</v>
      </c>
      <c r="F8" s="8" t="s">
        <v>90</v>
      </c>
    </row>
    <row r="9" spans="1:6" x14ac:dyDescent="0.25">
      <c r="A9" t="s">
        <v>91</v>
      </c>
      <c r="B9" s="18">
        <v>26544000000</v>
      </c>
      <c r="C9" s="18">
        <v>28898000000</v>
      </c>
      <c r="D9" s="18">
        <v>28741000000</v>
      </c>
      <c r="E9" s="18">
        <v>19886000000</v>
      </c>
      <c r="F9" s="8" t="s">
        <v>92</v>
      </c>
    </row>
    <row r="10" spans="1:6" x14ac:dyDescent="0.25">
      <c r="A10" t="s">
        <v>93</v>
      </c>
      <c r="B10" s="18">
        <v>196357000000</v>
      </c>
      <c r="C10" s="18">
        <v>196520000000</v>
      </c>
      <c r="D10" s="18">
        <v>193972000000</v>
      </c>
      <c r="E10" s="18">
        <v>178436000000</v>
      </c>
      <c r="F10" s="8" t="s">
        <v>94</v>
      </c>
    </row>
    <row r="11" spans="1:6" x14ac:dyDescent="0.25">
      <c r="A11" t="s">
        <v>95</v>
      </c>
      <c r="B11" s="18">
        <v>73857000000</v>
      </c>
      <c r="C11" s="18">
        <v>73446000000</v>
      </c>
      <c r="D11" s="18">
        <v>74913000000</v>
      </c>
      <c r="E11" s="18">
        <v>70767000000</v>
      </c>
      <c r="F11" s="8" t="s">
        <v>96</v>
      </c>
    </row>
    <row r="12" spans="1:6" x14ac:dyDescent="0.25">
      <c r="A12" t="s">
        <v>32</v>
      </c>
      <c r="B12" s="34">
        <v>501295263</v>
      </c>
      <c r="C12" s="34">
        <v>501295263</v>
      </c>
      <c r="D12" s="34">
        <v>501295263</v>
      </c>
      <c r="E12" s="34">
        <v>501295263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