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<sst xmlns="http://schemas.openxmlformats.org/spreadsheetml/2006/main" count="111" uniqueCount="99">
  <si>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Verisk Analytics, Inc. (VRSK)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</si>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</sst>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0.07160288137517012</v>
      </c>
    </row>
    <row r="7" spans="1:2" x14ac:dyDescent="0.25">
      <c r="A7" t="s">
        <v>5</v>
      </c>
      <c r="B7" s="6">
        <v>0.4644561151869166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0.11339615527994604</v>
      </c>
    </row>
    <row r="10" spans="1:2" x14ac:dyDescent="0.25">
      <c r="A10" t="s">
        <v>8</v>
      </c>
      <c r="B10" s="6">
        <v>0.08823170691751402</v>
      </c>
    </row>
    <row r="11" spans="1:2" x14ac:dyDescent="0.25">
      <c r="A11" t="s">
        <v>9</v>
      </c>
      <c r="B11" s="6">
        <v>0.39804772234273317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15.29562299533102</v>
      </c>
    </row>
    <row r="14" spans="1:3" x14ac:dyDescent="0.25">
      <c r="A14" t="s">
        <v>12</v>
      </c>
      <c r="B14" s="6">
        <v>0.24795423920085147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0.77354</v>
      </c>
      <c r="C19" s="8" t="s">
        <v>19</v>
      </c>
    </row>
    <row r="20" spans="1:2" x14ac:dyDescent="0.25">
      <c r="A20" t="s">
        <v>20</v>
      </c>
      <c r="B20" s="10">
        <f>B17+B19*B18</f>
        <v>0.0925247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22830667776</v>
      </c>
    </row>
    <row r="23" spans="1:2" x14ac:dyDescent="0.25">
      <c r="A23" t="s">
        <v>24</v>
      </c>
      <c r="B23" s="11">
        <v>4900400000</v>
      </c>
    </row>
    <row r="24" spans="1:2" x14ac:dyDescent="0.25">
      <c r="A24" t="s">
        <v>25</v>
      </c>
      <c r="B24" s="10">
        <f>B22/(B22+B23)</f>
        <v>0.8232884489128444</v>
      </c>
    </row>
    <row r="25" spans="1:2" x14ac:dyDescent="0.25">
      <c r="A25" t="s">
        <v>26</v>
      </c>
      <c r="B25" s="10">
        <f>1-B24</f>
        <v>0.17671155108715564</v>
      </c>
    </row>
    <row r="26" spans="1:2" x14ac:dyDescent="0.25">
      <c r="A26" t="s">
        <v>27</v>
      </c>
      <c r="B26" s="12">
        <f>B24*B20+B25*B21*(1-B8)</f>
        <v>0.08315183097456173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3072700000</v>
      </c>
      <c r="C29" s="8" t="s">
        <v>30</v>
      </c>
    </row>
    <row r="30" spans="1:2" x14ac:dyDescent="0.25">
      <c r="A30" t="s">
        <v>31</v>
      </c>
      <c r="B30" s="11">
        <v>2722200000</v>
      </c>
    </row>
    <row r="31" spans="1:2" x14ac:dyDescent="0.25">
      <c r="A31" t="s">
        <v>32</v>
      </c>
      <c r="B31" s="13">
        <v>140082773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0.07160288137517012</v>
      </c>
      <c r="C5" s="10">
        <f>Assumptions!B6</f>
        <v>0.07160288137517012</v>
      </c>
      <c r="D5" s="10">
        <f>Assumptions!B6</f>
        <v>0.07160288137517012</v>
      </c>
      <c r="E5" s="10">
        <f>Assumptions!B6</f>
        <v>0.07160288137517012</v>
      </c>
      <c r="F5" s="10">
        <f>Assumptions!B6</f>
        <v>0.07160288137517012</v>
      </c>
    </row>
    <row r="6" spans="1:6" x14ac:dyDescent="0.25">
      <c r="A6" t="s">
        <v>43</v>
      </c>
      <c r="B6" s="18">
        <f>Assumptions!B29*(1+B5)</f>
        <v>3292714173.6014853</v>
      </c>
      <c r="C6" s="18">
        <f>B6*(1+C5)</f>
        <v>3528481995.976214</v>
      </c>
      <c r="D6" s="18">
        <f>C6*(1+D5)</f>
        <v>3781131473.7685223</v>
      </c>
      <c r="E6" s="18">
        <f>D6*(1+E5)</f>
        <v>4051871382.148692</v>
      </c>
      <c r="F6" s="18">
        <f>E6*(1+F5)</f>
        <v>4341997048.072131</v>
      </c>
    </row>
    <row r="7" spans="1:6" x14ac:dyDescent="0.25">
      <c r="A7" t="s">
        <v>5</v>
      </c>
      <c r="B7" s="10">
        <f>Assumptions!B7</f>
        <v>0.4644561151869166</v>
      </c>
      <c r="C7" s="10">
        <f>Assumptions!B7</f>
        <v>0.4644561151869166</v>
      </c>
      <c r="D7" s="10">
        <f>Assumptions!B7</f>
        <v>0.4644561151869166</v>
      </c>
      <c r="E7" s="10">
        <f>Assumptions!B7</f>
        <v>0.4644561151869166</v>
      </c>
      <c r="F7" s="10">
        <f>Assumptions!B7</f>
        <v>0.4644561151869166</v>
      </c>
    </row>
    <row r="8" spans="1:6" x14ac:dyDescent="0.25">
      <c r="A8" t="s">
        <v>44</v>
      </c>
      <c r="B8" s="18">
        <f>B6*B7</f>
        <v>1529321233.4918444</v>
      </c>
      <c r="C8" s="18">
        <f>C6*C7</f>
        <v>1638825040.3580897</v>
      </c>
      <c r="D8" s="18">
        <f>D6*D7</f>
        <v>1756169635.3175085</v>
      </c>
      <c r="E8" s="18">
        <f>E6*E7</f>
        <v>1881916441.389824</v>
      </c>
      <c r="F8" s="18">
        <f>F6*F7</f>
        <v>2016667081.1006415</v>
      </c>
    </row>
    <row r="9" spans="1:6" x14ac:dyDescent="0.25">
      <c r="A9" t="s">
        <v>45</v>
      </c>
      <c r="B9" s="18">
        <f>B8*(1-Assumptions!B8)</f>
        <v>1208163774.4585571</v>
      </c>
      <c r="C9" s="18">
        <f>C8*(1-Assumptions!B8)</f>
        <v>1294671781.882891</v>
      </c>
      <c r="D9" s="18">
        <f>D8*(1-Assumptions!B8)</f>
        <v>1387374011.9008317</v>
      </c>
      <c r="E9" s="18">
        <f>E8*(1-Assumptions!B8)</f>
        <v>1486713988.6979609</v>
      </c>
      <c r="F9" s="18">
        <f>F8*(1-Assumptions!B8)</f>
        <v>1593166994.069507</v>
      </c>
    </row>
    <row r="10" spans="1:6" x14ac:dyDescent="0.25">
      <c r="A10" t="s">
        <v>46</v>
      </c>
      <c r="B10" s="18">
        <f>B6*Assumptions!B9</f>
        <v>373381127.72219324</v>
      </c>
      <c r="C10" s="18">
        <f>C6*Assumptions!B9</f>
        <v>400116292.3182127</v>
      </c>
      <c r="D10" s="18">
        <f>D6*Assumptions!B9</f>
        <v>428765771.7333466</v>
      </c>
      <c r="E10" s="18">
        <f>E6*Assumptions!B9</f>
        <v>459466636.4245027</v>
      </c>
      <c r="F10" s="18">
        <f>F6*Assumptions!B9</f>
        <v>492365771.4882547</v>
      </c>
    </row>
    <row r="11" spans="1:6" x14ac:dyDescent="0.25">
      <c r="A11" t="s">
        <v>47</v>
      </c>
      <c r="B11" s="18">
        <f>-B6*Assumptions!B10</f>
        <v>-290521791.9283506</v>
      </c>
      <c r="C11" s="18">
        <f>-C6*Assumptions!B10</f>
        <v>-311323989.33269817</v>
      </c>
      <c r="D11" s="18">
        <f>-D6*Assumptions!B10</f>
        <v>-333615684.0101321</v>
      </c>
      <c r="E11" s="18">
        <f>-E6*Assumptions!B10</f>
        <v>-357503528.25720584</v>
      </c>
      <c r="F11" s="18">
        <f>-F6*Assumptions!B10</f>
        <v>-383101810.9822113</v>
      </c>
    </row>
    <row r="12" spans="1:6" x14ac:dyDescent="0.25">
      <c r="A12" t="s">
        <v>48</v>
      </c>
      <c r="B12" s="18">
        <f>-(B6-Assumptions!B29)*Assumptions!B11</f>
        <v>-87576140.68518989</v>
      </c>
      <c r="C12" s="18">
        <f>-(C6-B6)*Assumptions!B11</f>
        <v>-93846844.69796683</v>
      </c>
      <c r="D12" s="18">
        <f>-(D6-C6)*Assumptions!B11</f>
        <v>-100566549.18630928</v>
      </c>
      <c r="E12" s="18">
        <f>-(E6-D6)*Assumptions!B11</f>
        <v>-107767403.87800688</v>
      </c>
      <c r="F12" s="18">
        <f>-(F6-E6)*Assumptions!B11</f>
        <v>-115483860.51399362</v>
      </c>
    </row>
    <row r="13" spans="1:6" x14ac:dyDescent="0.25">
      <c r="A13" s="19" t="s">
        <v>49</v>
      </c>
      <c r="B13" s="20">
        <f>B9+B10+B11+B12</f>
        <v>1203446969.5672097</v>
      </c>
      <c r="C13" s="20">
        <f>C9+C10+C11+C12</f>
        <v>1289617240.1704388</v>
      </c>
      <c r="D13" s="20">
        <f>D9+D10+D11+D12</f>
        <v>1381957550.4377367</v>
      </c>
      <c r="E13" s="20">
        <f>E9+E10+E11+E12</f>
        <v>1480909692.9872508</v>
      </c>
      <c r="F13" s="20">
        <f>F9+F10+F11+F12</f>
        <v>1586947094.0615568</v>
      </c>
    </row>
    <row r="14" spans="1:6" x14ac:dyDescent="0.25">
      <c r="A14" t="s">
        <v>50</v>
      </c>
      <c r="B14" s="21">
        <f>1/(1+Assumptions!$B$26)^(1-0.5*Assumptions!$B$32)</f>
        <v>0.9608494168647472</v>
      </c>
      <c r="C14" s="21">
        <f>1/(1+Assumptions!$B$26)^(2-0.5*Assumptions!$B$32)</f>
        <v>0.8870865463064643</v>
      </c>
      <c r="D14" s="21">
        <f>1/(1+Assumptions!$B$26)^(3-0.5*Assumptions!$B$32)</f>
        <v>0.8189863331609859</v>
      </c>
      <c r="E14" s="21">
        <f>1/(1+Assumptions!$B$26)^(4-0.5*Assumptions!$B$32)</f>
        <v>0.7561140642896814</v>
      </c>
      <c r="F14" s="21">
        <f>1/(1+Assumptions!$B$26)^(5-0.5*Assumptions!$B$32)</f>
        <v>0.6980683987852105</v>
      </c>
    </row>
    <row r="15" spans="1:6" x14ac:dyDescent="0.25">
      <c r="A15" s="19" t="s">
        <v>51</v>
      </c>
      <c r="B15" s="20">
        <f>B13*B14</f>
        <v>1156331318.9363008</v>
      </c>
      <c r="C15" s="20">
        <f>C13*C14</f>
        <v>1144002103.6400688</v>
      </c>
      <c r="D15" s="20">
        <f>D13*D14</f>
        <v>1131804346.8171403</v>
      </c>
      <c r="E15" s="20">
        <f>E13*E14</f>
        <v>1119736646.8105745</v>
      </c>
      <c r="F15" s="20">
        <f>F13*F14</f>
        <v>1107797616.9083939</v>
      </c>
    </row>
    <row r="17" spans="1:2" x14ac:dyDescent="0.25">
      <c r="A17" s="22" t="s">
        <v>52</v>
      </c>
      <c r="B17" s="23">
        <f>SUM(B15:F15)</f>
        <v>5659672033.112478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1586947094.0615568</v>
      </c>
    </row>
    <row r="5" spans="1:2" x14ac:dyDescent="0.25">
      <c r="A5" t="s">
        <v>56</v>
      </c>
      <c r="B5" s="18">
        <f>IF(Assumptions!$B$33=0,B4,B4-Forecast!F11-Forecast!F10-Forecast!F12)</f>
        <v>1706454588.101962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0.10082505578680243</v>
      </c>
    </row>
    <row r="7" spans="1:2" x14ac:dyDescent="0.25">
      <c r="A7" t="s">
        <v>58</v>
      </c>
      <c r="B7" s="18">
        <f>-MAX(Forecast!F9,0)*B6</f>
        <v>-172053379.04302529</v>
      </c>
    </row>
    <row r="8" spans="1:2" x14ac:dyDescent="0.25">
      <c r="A8" t="s">
        <v>59</v>
      </c>
      <c r="B8" s="18">
        <f>IF(OR(Assumptions!$B$33=0,Assumptions!B12&lt;=0),B5,MAX(B5+B7,0))</f>
        <v>1534401209.0589368</v>
      </c>
    </row>
    <row r="9" spans="1:2" x14ac:dyDescent="0.25">
      <c r="A9" t="s">
        <v>60</v>
      </c>
      <c r="B9" s="18">
        <f>B8*(1+Assumptions!B12)/(Assumptions!B26-Assumptions!B12)</f>
        <v>27045773330.394493</v>
      </c>
    </row>
    <row r="10" spans="1:2" x14ac:dyDescent="0.25">
      <c r="A10" t="s">
        <v>61</v>
      </c>
      <c r="B10" s="18">
        <f>B9/(1+Assumptions!B26)^(5-0.5*Assumptions!B32)</f>
        <v>18879799682.656235</v>
      </c>
    </row>
    <row r="11" spans="1:2" x14ac:dyDescent="0.25">
      <c r="A11" t="s">
        <v>62</v>
      </c>
      <c r="B11" s="18">
        <f>Forecast!B17+B10</f>
        <v>24539471715.768715</v>
      </c>
    </row>
    <row r="12" spans="1:2" x14ac:dyDescent="0.25">
      <c r="A12" t="s">
        <v>63</v>
      </c>
      <c r="B12" s="18">
        <f>-Assumptions!B30</f>
        <v>-2722200000</v>
      </c>
    </row>
    <row r="13" spans="1:2" x14ac:dyDescent="0.25">
      <c r="A13" t="s">
        <v>64</v>
      </c>
      <c r="B13" s="18">
        <f>B11+B12</f>
        <v>21817271715.768715</v>
      </c>
    </row>
    <row r="14" spans="1:2" x14ac:dyDescent="0.25">
      <c r="A14" s="19" t="s">
        <v>65</v>
      </c>
      <c r="B14" s="24">
        <f>B13/Assumptions!B31</f>
        <v>155.74557276767155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2509032852.5888963</v>
      </c>
    </row>
    <row r="18" spans="1:2" x14ac:dyDescent="0.25">
      <c r="A18" t="s">
        <v>60</v>
      </c>
      <c r="B18" s="18">
        <f>B17*Assumptions!B13</f>
        <v>38377220596.09971</v>
      </c>
    </row>
    <row r="19" spans="1:2" x14ac:dyDescent="0.25">
      <c r="A19" t="s">
        <v>61</v>
      </c>
      <c r="B19" s="18">
        <f>B18/(1+Assumptions!B26)^(5-0.5*Assumptions!B32)</f>
        <v>26789924931.346127</v>
      </c>
    </row>
    <row r="20" spans="1:2" x14ac:dyDescent="0.25">
      <c r="A20" t="s">
        <v>62</v>
      </c>
      <c r="B20" s="18">
        <f>Forecast!B17+B19</f>
        <v>32449596964.458603</v>
      </c>
    </row>
    <row r="21" spans="1:2" x14ac:dyDescent="0.25">
      <c r="A21" t="s">
        <v>63</v>
      </c>
      <c r="B21" s="18">
        <f>-Assumptions!B30</f>
        <v>-2722200000</v>
      </c>
    </row>
    <row r="22" spans="1:2" x14ac:dyDescent="0.25">
      <c r="A22" t="s">
        <v>64</v>
      </c>
      <c r="B22" s="18">
        <f>B20+B21</f>
        <v>29727396964.458603</v>
      </c>
    </row>
    <row r="23" spans="1:2" x14ac:dyDescent="0.25">
      <c r="A23" s="19" t="s">
        <v>65</v>
      </c>
      <c r="B23" s="25">
        <f>B22/Assumptions!B31</f>
        <v>212.21308179313814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175.41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155.74557276767155</v>
      </c>
    </row>
    <row r="29" spans="1:2" x14ac:dyDescent="0.25">
      <c r="A29" s="19" t="s">
        <v>73</v>
      </c>
      <c r="B29" s="12">
        <f>B28/B26-1</f>
        <v>-0.11210550842214495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0.063152</v>
      </c>
      <c r="B5" s="31">
        <v>206.03368426301924</v>
      </c>
      <c r="C5" s="31">
        <v>223.8527761754084</v>
      </c>
      <c r="D5" s="31">
        <v>246.29354274766752</v>
      </c>
      <c r="E5" s="31">
        <v>275.44711332035087</v>
      </c>
      <c r="F5" s="31">
        <v>314.89021636768274</v>
      </c>
    </row>
    <row r="6" spans="1:6" x14ac:dyDescent="0.25">
      <c r="A6" s="30">
        <v>0.073152</v>
      </c>
      <c r="B6" s="31">
        <v>167.3027795776667</v>
      </c>
      <c r="C6" s="31">
        <v>178.3322429146994</v>
      </c>
      <c r="D6" s="31">
        <v>191.61512824653212</v>
      </c>
      <c r="E6" s="31">
        <v>207.93474410862095</v>
      </c>
      <c r="F6" s="31">
        <v>228.48502418606344</v>
      </c>
    </row>
    <row r="7" spans="1:6" x14ac:dyDescent="0.25">
      <c r="A7" s="30">
        <v>0.083152</v>
      </c>
      <c r="B7" s="31">
        <v>139.95507218270555</v>
      </c>
      <c r="C7" s="31">
        <v>147.23856888999424</v>
      </c>
      <c r="D7" s="32">
        <v>155.74507075642276</v>
      </c>
      <c r="E7" s="31">
        <v>165.81972147154366</v>
      </c>
      <c r="F7" s="31">
        <v>177.95102063517382</v>
      </c>
    </row>
    <row r="8" spans="1:6" x14ac:dyDescent="0.25">
      <c r="A8" s="30">
        <v>0.093152</v>
      </c>
      <c r="B8" s="31">
        <v>119.62015614337096</v>
      </c>
      <c r="C8" s="31">
        <v>124.65478190790601</v>
      </c>
      <c r="D8" s="31">
        <v>130.40400085095368</v>
      </c>
      <c r="E8" s="31">
        <v>137.0375446940381</v>
      </c>
      <c r="F8" s="31">
        <v>144.78352035524549</v>
      </c>
    </row>
    <row r="9" spans="1:6" x14ac:dyDescent="0.25">
      <c r="A9" s="30">
        <v>0.103152</v>
      </c>
      <c r="B9" s="31">
        <v>103.9107874747605</v>
      </c>
      <c r="C9" s="31">
        <v>107.51027022825366</v>
      </c>
      <c r="D9" s="31">
        <v>111.550120253961</v>
      </c>
      <c r="E9" s="31">
        <v>116.12063595907868</v>
      </c>
      <c r="F9" s="31">
        <v>121.33861487252965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3072700000</v>
      </c>
      <c r="C5" s="18">
        <v>2881700000</v>
      </c>
      <c r="D5" s="18">
        <v>2681400000</v>
      </c>
      <c r="E5" s="18">
        <v>2497000000</v>
      </c>
      <c r="F5" s="8" t="s">
        <v>84</v>
      </c>
    </row>
    <row r="6" spans="1:6" x14ac:dyDescent="0.25">
      <c r="A6" t="s">
        <v>44</v>
      </c>
      <c r="B6" s="18">
        <v>1343900000</v>
      </c>
      <c r="C6" s="18">
        <v>1253900000</v>
      </c>
      <c r="D6" s="18">
        <v>1131700000</v>
      </c>
      <c r="E6" s="18">
        <v>1406500000</v>
      </c>
      <c r="F6" s="8" t="s">
        <v>85</v>
      </c>
    </row>
    <row r="7" spans="1:6" x14ac:dyDescent="0.25">
      <c r="A7" t="s">
        <v>86</v>
      </c>
      <c r="B7" s="18">
        <v>326700000</v>
      </c>
      <c r="C7" s="18">
        <v>305900000</v>
      </c>
      <c r="D7" s="18">
        <v>281400000</v>
      </c>
      <c r="E7" s="18">
        <v>340000000</v>
      </c>
      <c r="F7" s="8" t="s">
        <v>87</v>
      </c>
    </row>
    <row r="8" spans="1:6" x14ac:dyDescent="0.25">
      <c r="A8" t="s">
        <v>88</v>
      </c>
      <c r="B8" s="18">
        <v>244100000</v>
      </c>
      <c r="C8" s="18">
        <v>223900000</v>
      </c>
      <c r="D8" s="18">
        <v>230000000</v>
      </c>
      <c r="E8" s="18">
        <v>274700000</v>
      </c>
      <c r="F8" s="8" t="s">
        <v>89</v>
      </c>
    </row>
    <row r="9" spans="1:6" x14ac:dyDescent="0.25">
      <c r="A9" t="s">
        <v>90</v>
      </c>
      <c r="B9" s="18">
        <v>-36100000</v>
      </c>
      <c r="C9" s="18">
        <v>83200000</v>
      </c>
      <c r="D9" s="18">
        <v>73400000</v>
      </c>
      <c r="E9" s="18">
        <v>23500000</v>
      </c>
      <c r="F9" s="8" t="s">
        <v>91</v>
      </c>
    </row>
    <row r="10" spans="1:6" x14ac:dyDescent="0.25">
      <c r="A10" t="s">
        <v>92</v>
      </c>
      <c r="B10" s="18">
        <v>4900400000</v>
      </c>
      <c r="C10" s="18">
        <v>3245800000</v>
      </c>
      <c r="D10" s="18">
        <v>3095400000</v>
      </c>
      <c r="E10" s="18">
        <v>3955500000</v>
      </c>
      <c r="F10" s="8" t="s">
        <v>93</v>
      </c>
    </row>
    <row r="11" spans="1:6" x14ac:dyDescent="0.25">
      <c r="A11" t="s">
        <v>94</v>
      </c>
      <c r="B11" s="18">
        <v>2178200000</v>
      </c>
      <c r="C11" s="18">
        <v>291200000</v>
      </c>
      <c r="D11" s="18">
        <v>302700000</v>
      </c>
      <c r="E11" s="18">
        <v>112500000</v>
      </c>
      <c r="F11" s="8" t="s">
        <v>95</v>
      </c>
    </row>
    <row r="12" spans="1:6" x14ac:dyDescent="0.25">
      <c r="A12" t="s">
        <v>32</v>
      </c>
      <c r="B12" s="34">
        <v>140082773</v>
      </c>
      <c r="C12" s="34">
        <v>142842261</v>
      </c>
      <c r="D12" s="34">
        <v>147336159</v>
      </c>
      <c r="E12" s="34">
        <v>158928942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