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<sst xmlns="http://schemas.openxmlformats.org/spreadsheetml/2006/main" count="119" uniqueCount="106">
  <si>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Verisk Analytics, Inc. (VRSK)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</si>
  <si>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</si>
  <si>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</si>
  <si>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</si>
  <si>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</si>
  <si>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</si>
  <si>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</si>
  <si>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</si>
  <si>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</si>
  <si>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</si>
  <si>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</si>
  <si>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</si>
  <si>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</si>
  <si>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</si>
  <si>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</si>
  <si>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</si>
  <si>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</si>
  <si>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</si>
  <si>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</si>
  <si>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</si>
  <si>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</si>
  <si>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</si>
  <si>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</si>
  <si>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</si>
  <si>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7.9x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</si>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</sst>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0.04763921957887196</v>
      </c>
    </row>
    <row r="7" spans="1:2" x14ac:dyDescent="0.25">
      <c r="A7" t="s">
        <v>4</v>
      </c>
      <c r="B7" s="5">
        <v>0.4644561151869166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0.11339615527994604</v>
      </c>
    </row>
    <row r="10" spans="1:3" x14ac:dyDescent="0.25">
      <c r="A10" t="s">
        <v>7</v>
      </c>
      <c r="B10" s="5">
        <v>0.08823170691751402</v>
      </c>
      <c r="C10" s="6" t="s">
        <v>8</v>
      </c>
    </row>
    <row r="11" spans="1:2" x14ac:dyDescent="0.25">
      <c r="A11" t="s">
        <v>9</v>
      </c>
      <c r="B11" s="5">
        <v>0.08488614023396027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16.923156556925655</v>
      </c>
    </row>
    <row r="14" spans="1:3" x14ac:dyDescent="0.25">
      <c r="A14" t="s">
        <v>12</v>
      </c>
      <c r="B14" s="5">
        <v>0.24795423920085147</v>
      </c>
      <c r="C14" s="6" t="s">
        <v>13</v>
      </c>
    </row>
    <row r="15" spans="1:3" x14ac:dyDescent="0.25">
      <c r="A15" t="s">
        <v>14</v>
      </c>
      <c r="B15" s="5">
        <v>0.08036941293651838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0.7936399999999999</v>
      </c>
      <c r="C19" s="6" t="s">
        <v>21</v>
      </c>
    </row>
    <row r="20" spans="1:2" x14ac:dyDescent="0.25">
      <c r="A20" t="s">
        <v>22</v>
      </c>
      <c r="B20" s="9">
        <f>B17+B19*B18</f>
        <v>0.08251097199999999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25549625344</v>
      </c>
    </row>
    <row r="23" spans="1:2" x14ac:dyDescent="0.25">
      <c r="A23" t="s">
        <v>26</v>
      </c>
      <c r="B23" s="10">
        <v>4900400000</v>
      </c>
    </row>
    <row r="24" spans="1:2" x14ac:dyDescent="0.25">
      <c r="A24" t="s">
        <v>27</v>
      </c>
      <c r="B24" s="9">
        <f>B22/(B22+B23)</f>
        <v>0.8390674574277294</v>
      </c>
    </row>
    <row r="25" spans="1:2" x14ac:dyDescent="0.25">
      <c r="A25" t="s">
        <v>28</v>
      </c>
      <c r="B25" s="9">
        <f>1-B24</f>
        <v>0.16093254257227063</v>
      </c>
    </row>
    <row r="26" spans="1:2" x14ac:dyDescent="0.25">
      <c r="A26" t="s">
        <v>29</v>
      </c>
      <c r="B26" s="11">
        <f>B24*B20+B25*B21*(1-B8)</f>
        <v>0.07615359390386174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3072700000</v>
      </c>
      <c r="C29" s="6" t="s">
        <v>32</v>
      </c>
    </row>
    <row r="30" spans="1:2" x14ac:dyDescent="0.25">
      <c r="A30" t="s">
        <v>33</v>
      </c>
      <c r="B30" s="10">
        <v>2722200000</v>
      </c>
    </row>
    <row r="31" spans="1:2" x14ac:dyDescent="0.25">
      <c r="A31" t="s">
        <v>34</v>
      </c>
      <c r="B31" s="12">
        <v>140082773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0.04763921957887196</v>
      </c>
      <c r="C5" s="5">
        <v>0.0674817930880105</v>
      </c>
      <c r="D5" s="5">
        <v>0.06217156895200919</v>
      </c>
      <c r="E5" s="5">
        <v>0.056861344816007874</v>
      </c>
      <c r="F5" s="5">
        <v>0.051551120680006564</v>
      </c>
      <c r="G5" s="5">
        <v>0.04624089654400525</v>
      </c>
      <c r="H5" s="5">
        <v>0.04093067240800394</v>
      </c>
      <c r="I5" s="5">
        <v>0.03562044827200263</v>
      </c>
      <c r="J5" s="5">
        <v>0.03031022413600131</v>
      </c>
      <c r="K5" s="5">
        <v>0.025</v>
      </c>
    </row>
    <row r="6" spans="1:11" x14ac:dyDescent="0.25">
      <c r="A6" t="s">
        <v>50</v>
      </c>
      <c r="B6" s="18">
        <f>Assumptions!B29*(1+B5)</f>
        <v>3219081030</v>
      </c>
      <c r="C6" s="18">
        <f>B6*(1+C5)</f>
        <v>3436310389.9999995</v>
      </c>
      <c r="D6" s="18">
        <f>C6*(1+D5)</f>
        <v>3649951198.3523903</v>
      </c>
      <c r="E6" s="18">
        <f>D6*(1+E5)</f>
        <v>3857492332.0035067</v>
      </c>
      <c r="F6" s="18">
        <f>E6*(1+F5)</f>
        <v>4056350384.7328196</v>
      </c>
      <c r="G6" s="18">
        <f>F6*(1+G5)</f>
        <v>4243919663.219486</v>
      </c>
      <c r="H6" s="18">
        <f>G6*(1+H5)</f>
        <v>4417626148.680609</v>
      </c>
      <c r="I6" s="18">
        <f>H6*(1+I5)</f>
        <v>4574983972.394732</v>
      </c>
      <c r="J6" s="18">
        <f>I6*(1+J5)</f>
        <v>4713652762.016631</v>
      </c>
      <c r="K6" s="18">
        <f>J6*(1+K5)</f>
        <v>4831494081.067046</v>
      </c>
    </row>
    <row r="7" spans="1:11" x14ac:dyDescent="0.25">
      <c r="A7" t="s">
        <v>4</v>
      </c>
      <c r="B7" s="9">
        <f>Assumptions!B7</f>
        <v>0.4644561151869166</v>
      </c>
      <c r="C7" s="9">
        <f>Assumptions!B7</f>
        <v>0.4644561151869166</v>
      </c>
      <c r="D7" s="9">
        <f>Assumptions!B7</f>
        <v>0.4644561151869166</v>
      </c>
      <c r="E7" s="9">
        <f>Assumptions!B7</f>
        <v>0.4644561151869166</v>
      </c>
      <c r="F7" s="9">
        <f>Assumptions!B7</f>
        <v>0.4644561151869166</v>
      </c>
      <c r="G7" s="9">
        <f>Assumptions!B7</f>
        <v>0.4644561151869166</v>
      </c>
      <c r="H7" s="9">
        <f>Assumptions!B7</f>
        <v>0.4644561151869166</v>
      </c>
      <c r="I7" s="9">
        <f>Assumptions!B7</f>
        <v>0.4644561151869166</v>
      </c>
      <c r="J7" s="9">
        <f>Assumptions!B7</f>
        <v>0.4644561151869166</v>
      </c>
      <c r="K7" s="9">
        <f>Assumptions!B7</f>
        <v>0.4644561151869166</v>
      </c>
    </row>
    <row r="8" spans="1:11" x14ac:dyDescent="0.25">
      <c r="A8" t="s">
        <v>51</v>
      </c>
      <c r="B8" s="18">
        <f>B6*B7</f>
        <v>1495121869.665698</v>
      </c>
      <c r="C8" s="18">
        <f>C6*C7</f>
        <v>1596015374.315838</v>
      </c>
      <c r="D8" s="18">
        <f>D6*D7</f>
        <v>1695242154.2085822</v>
      </c>
      <c r="E8" s="18">
        <f>E6*E7</f>
        <v>1791635902.8856683</v>
      </c>
      <c r="F8" s="18">
        <f>F6*F7</f>
        <v>1883996741.52996</v>
      </c>
      <c r="G8" s="18">
        <f>G6*G7</f>
        <v>1971114439.94429</v>
      </c>
      <c r="H8" s="18">
        <f>H6*H7</f>
        <v>2051793479.3643355</v>
      </c>
      <c r="I8" s="18">
        <f>I6*I7</f>
        <v>2124879282.860865</v>
      </c>
      <c r="J8" s="18">
        <f>J6*J7</f>
        <v>2189284850.186324</v>
      </c>
      <c r="K8" s="18">
        <f>K6*K7</f>
        <v>2244016971.440982</v>
      </c>
    </row>
    <row r="9" spans="1:11" x14ac:dyDescent="0.25">
      <c r="A9" t="s">
        <v>52</v>
      </c>
      <c r="B9" s="18">
        <f>B8*(1-Assumptions!B8)</f>
        <v>1181146277.0359015</v>
      </c>
      <c r="C9" s="18">
        <f>C8*(1-Assumptions!B8)</f>
        <v>1260852145.7095122</v>
      </c>
      <c r="D9" s="18">
        <f>D8*(1-Assumptions!B8)</f>
        <v>1339241301.82478</v>
      </c>
      <c r="E9" s="18">
        <f>E8*(1-Assumptions!B8)</f>
        <v>1415392363.279678</v>
      </c>
      <c r="F9" s="18">
        <f>F8*(1-Assumptions!B8)</f>
        <v>1488357425.8086684</v>
      </c>
      <c r="G9" s="18">
        <f>G8*(1-Assumptions!B8)</f>
        <v>1557180407.555989</v>
      </c>
      <c r="H9" s="18">
        <f>H8*(1-Assumptions!B8)</f>
        <v>1620916848.6978252</v>
      </c>
      <c r="I9" s="18">
        <f>I8*(1-Assumptions!B8)</f>
        <v>1678654633.4600835</v>
      </c>
      <c r="J9" s="18">
        <f>J8*(1-Assumptions!B8)</f>
        <v>1729535031.647196</v>
      </c>
      <c r="K9" s="18">
        <f>K8*(1-Assumptions!B8)</f>
        <v>1772773407.4383757</v>
      </c>
    </row>
    <row r="10" spans="1:11" x14ac:dyDescent="0.25">
      <c r="A10" t="s">
        <v>53</v>
      </c>
      <c r="B10" s="18">
        <f>B6*Assumptions!B9</f>
        <v>365031412.33660865</v>
      </c>
      <c r="C10" s="18">
        <f>C6*Assumptions!B9</f>
        <v>389664386.57453185</v>
      </c>
      <c r="D10" s="18">
        <f>D6*Assumptions!B9</f>
        <v>413890432.85259277</v>
      </c>
      <c r="E10" s="18">
        <f>E6*Assumptions!B9</f>
        <v>437424799.47107077</v>
      </c>
      <c r="F10" s="18">
        <f>F6*Assumptions!B9</f>
        <v>459974538.09703165</v>
      </c>
      <c r="G10" s="18">
        <f>G6*Assumptions!B9</f>
        <v>481244173.12605315</v>
      </c>
      <c r="H10" s="18">
        <f>H6*Assumptions!B9</f>
        <v>500941820.7245363</v>
      </c>
      <c r="I10" s="18">
        <f>I6*Assumptions!B9</f>
        <v>518785592.93693745</v>
      </c>
      <c r="J10" s="18">
        <f>J6*Assumptions!B9</f>
        <v>534510100.53738445</v>
      </c>
      <c r="K10" s="18">
        <f>K6*Assumptions!B9</f>
        <v>547872853.0508189</v>
      </c>
    </row>
    <row r="11" spans="1:11" x14ac:dyDescent="0.25">
      <c r="A11" t="s">
        <v>54</v>
      </c>
      <c r="B11" s="18">
        <f>-B6*B19</f>
        <v>-284025013.98268914</v>
      </c>
      <c r="C11" s="18">
        <f>-C6*C19</f>
        <v>-315319075.4885466</v>
      </c>
      <c r="D11" s="18">
        <f>-D6*D19</f>
        <v>-347804489.8680761</v>
      </c>
      <c r="E11" s="18">
        <f>-E6*E19</f>
        <v>-381195114.90558517</v>
      </c>
      <c r="F11" s="18">
        <f>-F6*F19</f>
        <v>-415161960.93545216</v>
      </c>
      <c r="G11" s="18">
        <f>-G6*G19</f>
        <v>-449337208.7984294</v>
      </c>
      <c r="H11" s="18">
        <f>-H6*H19</f>
        <v>-483319720.3466749</v>
      </c>
      <c r="I11" s="18">
        <f>-I6*I19</f>
        <v>-516681975.51736677</v>
      </c>
      <c r="J11" s="18">
        <f>-J6*J19</f>
        <v>-548978306.7156371</v>
      </c>
      <c r="K11" s="18">
        <f>-K6*K19</f>
        <v>-579754238.7146676</v>
      </c>
    </row>
    <row r="12" spans="1:11" x14ac:dyDescent="0.25">
      <c r="A12" t="s">
        <v>55</v>
      </c>
      <c r="B12" s="18">
        <f>-(B6-Assumptions!B29)*Assumptions!B11</f>
        <v>-12425720.640171545</v>
      </c>
      <c r="C12" s="18">
        <f>-(C6-B6)*Assumptions!B11</f>
        <v>-18439761.9158934</v>
      </c>
      <c r="D12" s="18">
        <f>-(D6-C6)*Assumptions!B11</f>
        <v>-18135143.61749767</v>
      </c>
      <c r="E12" s="18">
        <f>-(E6-D6)*Assumptions!B11</f>
        <v>-17617365.775423754</v>
      </c>
      <c r="F12" s="18">
        <f>-(F6-E6)*Assumptions!B11</f>
        <v>-16880292.55063272</v>
      </c>
      <c r="G12" s="18">
        <f>-(G6-F6)*Assumptions!B11</f>
        <v>-15922032.077201935</v>
      </c>
      <c r="H12" s="18">
        <f>-(H6-G6)*Assumptions!B11</f>
        <v>-14745273.084401226</v>
      </c>
      <c r="I12" s="18">
        <f>-(I6-H6)*Assumptions!B11</f>
        <v>-13357498.290707905</v>
      </c>
      <c r="J12" s="18">
        <f>-(J6-I6)*Assumptions!B11</f>
        <v>-11771058.321918024</v>
      </c>
      <c r="K12" s="18">
        <f>-(K6-J6)*Assumptions!B11</f>
        <v>-10003094.734268384</v>
      </c>
    </row>
    <row r="13" spans="1:11" x14ac:dyDescent="0.25">
      <c r="A13" s="19" t="s">
        <v>56</v>
      </c>
      <c r="B13" s="20">
        <f>B9+B10+B11+B12</f>
        <v>1249726954.7496495</v>
      </c>
      <c r="C13" s="20">
        <f>C9+C10+C11+C12</f>
        <v>1316757694.879604</v>
      </c>
      <c r="D13" s="20">
        <f>D9+D10+D11+D12</f>
        <v>1387192101.191799</v>
      </c>
      <c r="E13" s="20">
        <f>E9+E10+E11+E12</f>
        <v>1454004682.06974</v>
      </c>
      <c r="F13" s="20">
        <f>F9+F10+F11+F12</f>
        <v>1516289710.419615</v>
      </c>
      <c r="G13" s="20">
        <f>G9+G10+G11+G12</f>
        <v>1573165339.8064108</v>
      </c>
      <c r="H13" s="20">
        <f>H9+H10+H11+H12</f>
        <v>1623793675.9912853</v>
      </c>
      <c r="I13" s="20">
        <f>I9+I10+I11+I12</f>
        <v>1667400752.588946</v>
      </c>
      <c r="J13" s="20">
        <f>J9+J10+J11+J12</f>
        <v>1703295767.147025</v>
      </c>
      <c r="K13" s="20">
        <f>K9+K10+K11+K12</f>
        <v>1730888927.040259</v>
      </c>
    </row>
    <row r="14" spans="1:11" x14ac:dyDescent="0.25">
      <c r="A14" t="s">
        <v>57</v>
      </c>
      <c r="B14" s="21">
        <f>1/(1+Assumptions!$B$26)^(1-0.5*Assumptions!$B$32)</f>
        <v>0.9639685605814585</v>
      </c>
      <c r="C14" s="21">
        <f>1/(1+Assumptions!$B$26)^(2-0.5*Assumptions!$B$32)</f>
        <v>0.89575369728085</v>
      </c>
      <c r="D14" s="21">
        <f>1/(1+Assumptions!$B$26)^(3-0.5*Assumptions!$B$32)</f>
        <v>0.8323660324651316</v>
      </c>
      <c r="E14" s="21">
        <f>1/(1+Assumptions!$B$26)^(4-0.5*Assumptions!$B$32)</f>
        <v>0.7734639712958028</v>
      </c>
      <c r="F14" s="21">
        <f>1/(1+Assumptions!$B$26)^(5-0.5*Assumptions!$B$32)</f>
        <v>0.7187300917613255</v>
      </c>
      <c r="G14" s="21">
        <f>1/(1+Assumptions!$B$26)^(6-0.5*Assumptions!$B$32)</f>
        <v>0.66786943409635</v>
      </c>
      <c r="H14" s="21">
        <f>1/(1+Assumptions!$B$26)^(7-0.5*Assumptions!$B$32)</f>
        <v>0.6206079112495295</v>
      </c>
      <c r="I14" s="21">
        <f>1/(1+Assumptions!$B$26)^(8-0.5*Assumptions!$B$32)</f>
        <v>0.5766908318339655</v>
      </c>
      <c r="J14" s="21">
        <f>1/(1+Assumptions!$B$26)^(9-0.5*Assumptions!$B$32)</f>
        <v>0.5358815276004962</v>
      </c>
      <c r="K14" s="21">
        <f>1/(1+Assumptions!$B$26)^(10-0.5*Assumptions!$B$32)</f>
        <v>0.49796007803730774</v>
      </c>
    </row>
    <row r="15" spans="1:11" x14ac:dyDescent="0.25">
      <c r="A15" s="19" t="s">
        <v>58</v>
      </c>
      <c r="B15" s="20">
        <f>B13*B14</f>
        <v>1204697493.6898692</v>
      </c>
      <c r="C15" s="20">
        <f>C13*C14</f>
        <v>1179490573.6114147</v>
      </c>
      <c r="D15" s="20">
        <f>D13*D14</f>
        <v>1154651585.5359871</v>
      </c>
      <c r="E15" s="20">
        <f>E13*E14</f>
        <v>1124620235.6763523</v>
      </c>
      <c r="F15" s="20">
        <f>F13*F14</f>
        <v>1089803042.7066436</v>
      </c>
      <c r="G15" s="20">
        <f>G13*G14</f>
        <v>1050669045.2364998</v>
      </c>
      <c r="H15" s="20">
        <f>H13*H14</f>
        <v>1007739201.5571469</v>
      </c>
      <c r="I15" s="20">
        <f>I13*I14</f>
        <v>961574727.0110995</v>
      </c>
      <c r="J15" s="20">
        <f>J13*J14</f>
        <v>912764737.654207</v>
      </c>
      <c r="K15" s="20">
        <f>K13*K14</f>
        <v>861913585.1828792</v>
      </c>
    </row>
    <row r="17" spans="1:2" x14ac:dyDescent="0.25">
      <c r="A17" s="22" t="s">
        <v>59</v>
      </c>
      <c r="B17" s="23">
        <f>SUM(B15:K15)</f>
        <v>10547924227.862099</v>
      </c>
    </row>
    <row r="19" spans="1:11" x14ac:dyDescent="0.25">
      <c r="A19" t="s">
        <v>7</v>
      </c>
      <c r="B19" s="9">
        <f>Assumptions!$B$10+($B$20-Assumptions!$B$10)*0/9</f>
        <v>0.08823170691751402</v>
      </c>
      <c r="C19" s="9">
        <f>Assumptions!$B$10+($B$20-Assumptions!$B$10)*1/9</f>
        <v>0.09176094115541951</v>
      </c>
      <c r="D19" s="9">
        <f>Assumptions!$B$10+($B$20-Assumptions!$B$10)*2/9</f>
        <v>0.09529017539332502</v>
      </c>
      <c r="E19" s="9">
        <f>Assumptions!$B$10+($B$20-Assumptions!$B$10)*3/9</f>
        <v>0.09881940963123051</v>
      </c>
      <c r="F19" s="9">
        <f>Assumptions!$B$10+($B$20-Assumptions!$B$10)*4/9</f>
        <v>0.102348643869136</v>
      </c>
      <c r="G19" s="9">
        <f>Assumptions!$B$10+($B$20-Assumptions!$B$10)*5/9</f>
        <v>0.10587787810704151</v>
      </c>
      <c r="H19" s="9">
        <f>Assumptions!$B$10+($B$20-Assumptions!$B$10)*6/9</f>
        <v>0.109407112344947</v>
      </c>
      <c r="I19" s="9">
        <f>Assumptions!$B$10+($B$20-Assumptions!$B$10)*7/9</f>
        <v>0.1129363465828525</v>
      </c>
      <c r="J19" s="9">
        <f>Assumptions!$B$10+($B$20-Assumptions!$B$10)*8/9</f>
        <v>0.116465580820758</v>
      </c>
      <c r="K19" s="9">
        <f>Assumptions!$B$10+($B$20-Assumptions!$B$10)*9/9</f>
        <v>0.1199948150586635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0.1199948150586635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1730888927.040259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1898832530.4562414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0.10082505578680243</v>
      </c>
    </row>
    <row r="7" spans="1:2" x14ac:dyDescent="0.25">
      <c r="A7" t="s">
        <v>66</v>
      </c>
      <c r="B7" s="18">
        <f>-MAX(B5,0)*B6</f>
        <v>-191449895.81304574</v>
      </c>
    </row>
    <row r="8" spans="1:2" x14ac:dyDescent="0.25">
      <c r="A8" t="s">
        <v>67</v>
      </c>
      <c r="B8" s="18">
        <f>IF(OR(Assumptions!$B$33=0,Assumptions!B12&lt;=0),B5,MAX(B5+B7,0))</f>
        <v>1707382634.6431956</v>
      </c>
    </row>
    <row r="9" spans="1:2" x14ac:dyDescent="0.25">
      <c r="A9" t="s">
        <v>68</v>
      </c>
      <c r="B9" s="18">
        <f>B8*(1+Assumptions!B12)/(Assumptions!B26-Assumptions!B12)</f>
        <v>34212008716.30561</v>
      </c>
    </row>
    <row r="10" spans="1:2" x14ac:dyDescent="0.25">
      <c r="A10" t="s">
        <v>69</v>
      </c>
      <c r="B10" s="18">
        <f>B9/(1+Assumptions!B26)^(10-0.5*Assumptions!B32)</f>
        <v>17036214530.184595</v>
      </c>
    </row>
    <row r="11" spans="1:2" x14ac:dyDescent="0.25">
      <c r="A11" t="s">
        <v>70</v>
      </c>
      <c r="B11" s="18">
        <f>Forecast!B17+B10</f>
        <v>27584138758.04669</v>
      </c>
    </row>
    <row r="12" spans="1:2" x14ac:dyDescent="0.25">
      <c r="A12" t="s">
        <v>71</v>
      </c>
      <c r="B12" s="18">
        <f>-Assumptions!B30</f>
        <v>-2722200000</v>
      </c>
    </row>
    <row r="13" spans="1:2" x14ac:dyDescent="0.25">
      <c r="A13" t="s">
        <v>72</v>
      </c>
      <c r="B13" s="18">
        <f>B11+B12</f>
        <v>24861938758.04669</v>
      </c>
    </row>
    <row r="14" spans="1:2" x14ac:dyDescent="0.25">
      <c r="A14" s="19" t="s">
        <v>73</v>
      </c>
      <c r="B14" s="24">
        <f>B13/Assumptions!B31</f>
        <v>177.48034412516014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2791889824.491801</v>
      </c>
    </row>
    <row r="18" spans="1:2" x14ac:dyDescent="0.25">
      <c r="A18" t="s">
        <v>68</v>
      </c>
      <c r="B18" s="18">
        <f>B17*Assumptions!B13</f>
        <v>47247588589.56243</v>
      </c>
    </row>
    <row r="19" spans="1:2" x14ac:dyDescent="0.25">
      <c r="A19" t="s">
        <v>69</v>
      </c>
      <c r="B19" s="18">
        <f>B18/(1+Assumptions!B26)^(10-0.5*Assumptions!B32)</f>
        <v>23527412901.133118</v>
      </c>
    </row>
    <row r="20" spans="1:2" x14ac:dyDescent="0.25">
      <c r="A20" t="s">
        <v>70</v>
      </c>
      <c r="B20" s="18">
        <f>Forecast!B17+B19</f>
        <v>34075337128.995216</v>
      </c>
    </row>
    <row r="21" spans="1:2" x14ac:dyDescent="0.25">
      <c r="A21" t="s">
        <v>71</v>
      </c>
      <c r="B21" s="18">
        <f>-Assumptions!B30</f>
        <v>-2722200000</v>
      </c>
    </row>
    <row r="22" spans="1:2" x14ac:dyDescent="0.25">
      <c r="A22" t="s">
        <v>72</v>
      </c>
      <c r="B22" s="18">
        <f>B20+B21</f>
        <v>31353137128.995216</v>
      </c>
    </row>
    <row r="23" spans="1:2" x14ac:dyDescent="0.25">
      <c r="A23" s="19" t="s">
        <v>73</v>
      </c>
      <c r="B23" s="25">
        <f>B22/Assumptions!B31</f>
        <v>223.81864991347092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196.3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177.48034412516014</v>
      </c>
    </row>
    <row r="29" spans="1:2" x14ac:dyDescent="0.25">
      <c r="A29" s="19" t="s">
        <v>81</v>
      </c>
      <c r="B29" s="11">
        <f>B28/B26-1</f>
        <v>-0.09587190970371806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0.056154</v>
      </c>
      <c r="B5" s="31">
        <v>251.5610860230358</v>
      </c>
      <c r="C5" s="31">
        <v>273.0093285426542</v>
      </c>
      <c r="D5" s="31">
        <v>301.56619782268945</v>
      </c>
      <c r="E5" s="31">
        <v>341.30867640524804</v>
      </c>
      <c r="F5" s="31">
        <v>400.1683204753469</v>
      </c>
    </row>
    <row r="6" spans="1:6" x14ac:dyDescent="0.25">
      <c r="A6" s="30">
        <v>0.066154</v>
      </c>
      <c r="B6" s="31">
        <v>198.38474684990473</v>
      </c>
      <c r="C6" s="31">
        <v>209.9363461205756</v>
      </c>
      <c r="D6" s="31">
        <v>224.45499191768468</v>
      </c>
      <c r="E6" s="31">
        <v>243.17168766814396</v>
      </c>
      <c r="F6" s="31">
        <v>268.1077067012291</v>
      </c>
    </row>
    <row r="7" spans="1:6" x14ac:dyDescent="0.25">
      <c r="A7" s="30">
        <v>0.076154</v>
      </c>
      <c r="B7" s="31">
        <v>162.63569557381174</v>
      </c>
      <c r="C7" s="31">
        <v>169.34098294265956</v>
      </c>
      <c r="D7" s="32">
        <v>177.47880910614444</v>
      </c>
      <c r="E7" s="31">
        <v>187.5147476206115</v>
      </c>
      <c r="F7" s="31">
        <v>200.1406312426515</v>
      </c>
    </row>
    <row r="8" spans="1:6" x14ac:dyDescent="0.25">
      <c r="A8" s="30">
        <v>0.086154</v>
      </c>
      <c r="B8" s="31">
        <v>136.96436878018693</v>
      </c>
      <c r="C8" s="31">
        <v>141.02962752742997</v>
      </c>
      <c r="D8" s="31">
        <v>145.85595225865822</v>
      </c>
      <c r="E8" s="31">
        <v>151.64664086466794</v>
      </c>
      <c r="F8" s="31">
        <v>158.68447588683853</v>
      </c>
    </row>
    <row r="9" spans="1:6" x14ac:dyDescent="0.25">
      <c r="A9" s="30">
        <v>0.096154</v>
      </c>
      <c r="B9" s="31">
        <v>117.64383152206888</v>
      </c>
      <c r="C9" s="31">
        <v>120.16285612308887</v>
      </c>
      <c r="D9" s="31">
        <v>123.11425765605482</v>
      </c>
      <c r="E9" s="31">
        <v>126.59607484846899</v>
      </c>
      <c r="F9" s="31">
        <v>130.7384093272361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3072700000</v>
      </c>
      <c r="C5" s="18">
        <v>2881700000</v>
      </c>
      <c r="D5" s="18">
        <v>2681400000</v>
      </c>
      <c r="E5" s="18">
        <v>2497000000</v>
      </c>
      <c r="F5" s="6" t="s">
        <v>91</v>
      </c>
    </row>
    <row r="6" spans="1:6" x14ac:dyDescent="0.25">
      <c r="A6" t="s">
        <v>51</v>
      </c>
      <c r="B6" s="18">
        <v>1343900000</v>
      </c>
      <c r="C6" s="18">
        <v>1253900000</v>
      </c>
      <c r="D6" s="18">
        <v>1131700000</v>
      </c>
      <c r="E6" s="18">
        <v>1406500000</v>
      </c>
      <c r="F6" s="6" t="s">
        <v>92</v>
      </c>
    </row>
    <row r="7" spans="1:6" x14ac:dyDescent="0.25">
      <c r="A7" t="s">
        <v>93</v>
      </c>
      <c r="B7" s="18">
        <v>326700000</v>
      </c>
      <c r="C7" s="18">
        <v>305900000</v>
      </c>
      <c r="D7" s="18">
        <v>281400000</v>
      </c>
      <c r="E7" s="18">
        <v>340000000</v>
      </c>
      <c r="F7" s="6" t="s">
        <v>94</v>
      </c>
    </row>
    <row r="8" spans="1:6" x14ac:dyDescent="0.25">
      <c r="A8" t="s">
        <v>95</v>
      </c>
      <c r="B8" s="18">
        <v>244100000</v>
      </c>
      <c r="C8" s="18">
        <v>223900000</v>
      </c>
      <c r="D8" s="18">
        <v>230000000</v>
      </c>
      <c r="E8" s="18">
        <v>274700000</v>
      </c>
      <c r="F8" s="6" t="s">
        <v>96</v>
      </c>
    </row>
    <row r="9" spans="1:6" x14ac:dyDescent="0.25">
      <c r="A9" t="s">
        <v>97</v>
      </c>
      <c r="B9" s="18">
        <v>-36100000</v>
      </c>
      <c r="C9" s="18">
        <v>83200000</v>
      </c>
      <c r="D9" s="18">
        <v>73400000</v>
      </c>
      <c r="E9" s="18">
        <v>23500000</v>
      </c>
      <c r="F9" s="6" t="s">
        <v>98</v>
      </c>
    </row>
    <row r="10" spans="1:6" x14ac:dyDescent="0.25">
      <c r="A10" t="s">
        <v>99</v>
      </c>
      <c r="B10" s="18">
        <v>4900400000</v>
      </c>
      <c r="C10" s="18">
        <v>3245800000</v>
      </c>
      <c r="D10" s="18">
        <v>3095400000</v>
      </c>
      <c r="E10" s="18">
        <v>3955500000</v>
      </c>
      <c r="F10" s="6" t="s">
        <v>100</v>
      </c>
    </row>
    <row r="11" spans="1:6" x14ac:dyDescent="0.25">
      <c r="A11" t="s">
        <v>101</v>
      </c>
      <c r="B11" s="18">
        <v>2178200000</v>
      </c>
      <c r="C11" s="18">
        <v>291200000</v>
      </c>
      <c r="D11" s="18">
        <v>302700000</v>
      </c>
      <c r="E11" s="18">
        <v>112500000</v>
      </c>
      <c r="F11" s="6" t="s">
        <v>102</v>
      </c>
    </row>
    <row r="12" spans="1:6" x14ac:dyDescent="0.25">
      <c r="A12" t="s">
        <v>34</v>
      </c>
      <c r="B12" s="34">
        <v>140082773</v>
      </c>
      <c r="C12" s="34">
        <v>142842261</v>
      </c>
      <c r="D12" s="34">
        <v>147336159</v>
      </c>
      <c r="E12" s="34">
        <v>158928942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