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<sst xmlns="http://schemas.openxmlformats.org/spreadsheetml/2006/main" count="120" uniqueCount="107">
  <si>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VeriSign, Inc. (VRSN)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</si>
  <si>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</si>
  <si>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</si>
  <si>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</si>
  <si>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</si>
  <si>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</si>
  <si>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</si>
  <si>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</si>
  <si>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</si>
  <si>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</si>
  <si>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</si>
  <si>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</si>
  <si>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</si>
  <si>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</si>
  <si>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</si>
  <si>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</si>
  <si>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</si>
  <si>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</si>
  <si>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</si>
  <si>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</si>
  <si>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</si>
  <si>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</si>
  <si>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</si>
  <si>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</si>
  <si>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</si>
  <si>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</si>
  <si>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</si>
  <si>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</si>
  <si>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</si>
  <si>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</si>
  <si>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</si>
  <si>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</si>
  <si>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</si>
  <si>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</si>
  <si>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</si>
  <si>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</si>
  <si>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</si>
  <si>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</si>
  <si>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</si>
  <si>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</si>
  <si>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</si>
  <si>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</si>
  <si>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</si>
  <si>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</si>
  <si>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</si>
  <si>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</si>
  <si>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</si>
  <si>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</si>
  <si>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</si>
  <si>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</si>
  <si>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</si>
  <si>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</si>
  <si>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</si>
  <si>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</si>
  <si>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</si>
  <si>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</si>
  <si>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</si>
  <si>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</si>
  <si>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</si>
  <si>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</si>
  <si>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</si>
  <si>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</si>
  <si>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</si>
  <si>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</si>
  <si>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</si>
  <si>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</si>
  <si>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</si>
  <si>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</si>
  <si>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</si>
  <si>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</si>
  <si>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</si>
  <si>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</si>
  <si>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</si>
  <si>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</si>
  <si>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</si>
  <si>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</si>
  <si>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</si>
  <si>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</si>
  <si>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</si>
  <si>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</si>
  <si>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</si>
  <si>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</si>
  <si>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</si>
  <si>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</si>
  <si>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</si>
  <si>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</si>
  <si>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</si>
  <si>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</si>
  <si>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</si>
  <si>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</si>
  <si>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</si>
  <si>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</si>
  <si>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</si>
  <si>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</si>
  <si>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</si>
  <si>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</si>
  <si>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</si>
  <si>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</si>
  <si>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</si>
  <si>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</si>
  <si>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</si>
  <si>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</si>
  <si>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</si>
  <si>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</si>
  <si>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</si>
  <si>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25.0x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</si>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</sst>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0.06199725341059992</v>
      </c>
    </row>
    <row r="7" spans="1:2" x14ac:dyDescent="0.25">
      <c r="A7" t="s">
        <v>4</v>
      </c>
      <c r="B7" s="5">
        <v>0.6720433322776795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0.026244386601904812</v>
      </c>
    </row>
    <row r="10" spans="1:3" x14ac:dyDescent="0.25">
      <c r="A10" t="s">
        <v>7</v>
      </c>
      <c r="B10" s="5">
        <v>0.02042746916164617</v>
      </c>
      <c r="C10" s="6" t="s">
        <v>8</v>
      </c>
    </row>
    <row r="11" spans="1:2" x14ac:dyDescent="0.25">
      <c r="A11" t="s">
        <v>9</v>
      </c>
      <c r="B11" s="5">
        <v>-0.00344635986875044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0.026244386601904812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0.7936399999999999</v>
      </c>
      <c r="C19" s="6" t="s">
        <v>21</v>
      </c>
    </row>
    <row r="20" spans="1:2" x14ac:dyDescent="0.25">
      <c r="A20" t="s">
        <v>22</v>
      </c>
      <c r="B20" s="9">
        <f>B17+B19*B18</f>
        <v>0.08251097199999999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27556737024</v>
      </c>
    </row>
    <row r="23" spans="1:2" x14ac:dyDescent="0.25">
      <c r="A23" t="s">
        <v>26</v>
      </c>
      <c r="B23" s="10">
        <v>1798000000</v>
      </c>
    </row>
    <row r="24" spans="1:2" x14ac:dyDescent="0.25">
      <c r="A24" t="s">
        <v>27</v>
      </c>
      <c r="B24" s="9">
        <f>B22/(B22+B23)</f>
        <v>0.9387492383757353</v>
      </c>
    </row>
    <row r="25" spans="1:2" x14ac:dyDescent="0.25">
      <c r="A25" t="s">
        <v>28</v>
      </c>
      <c r="B25" s="9">
        <f>1-B24</f>
        <v>0.06125076162426468</v>
      </c>
    </row>
    <row r="26" spans="1:2" x14ac:dyDescent="0.25">
      <c r="A26" t="s">
        <v>29</v>
      </c>
      <c r="B26" s="11">
        <f>B24*B20+B25*B21*(1-B8)</f>
        <v>0.08079298785267928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1656600000</v>
      </c>
      <c r="C29" s="6" t="s">
        <v>32</v>
      </c>
    </row>
    <row r="30" spans="1:2" x14ac:dyDescent="0.25">
      <c r="A30" t="s">
        <v>33</v>
      </c>
      <c r="B30" s="10">
        <v>1217500000</v>
      </c>
    </row>
    <row r="31" spans="1:2" x14ac:dyDescent="0.25">
      <c r="A31" t="s">
        <v>34</v>
      </c>
      <c r="B31" s="12">
        <v>93800000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0.06199725341059992</v>
      </c>
      <c r="C5" s="5">
        <v>0.10397731285482581</v>
      </c>
      <c r="D5" s="5">
        <v>0.09410514874797259</v>
      </c>
      <c r="E5" s="5">
        <v>0.08423298464111936</v>
      </c>
      <c r="F5" s="5">
        <v>0.07436082053426613</v>
      </c>
      <c r="G5" s="5">
        <v>0.0644886564274129</v>
      </c>
      <c r="H5" s="5">
        <v>0.05461649232055968</v>
      </c>
      <c r="I5" s="5">
        <v>0.04474432821370645</v>
      </c>
      <c r="J5" s="5">
        <v>0.03487216410685322</v>
      </c>
      <c r="K5" s="5">
        <v>0.024999999999999994</v>
      </c>
    </row>
    <row r="6" spans="1:11" x14ac:dyDescent="0.25">
      <c r="A6" t="s">
        <v>50</v>
      </c>
      <c r="B6" s="18">
        <f>Assumptions!B29*(1+B5)</f>
        <v>1759304649.9999998</v>
      </c>
      <c r="C6" s="18">
        <f>B6*(1+C5)</f>
        <v>1942232419.9999995</v>
      </c>
      <c r="D6" s="18">
        <f>C6*(1+D5)</f>
        <v>2125006490.787234</v>
      </c>
      <c r="E6" s="18">
        <f>D6*(1+E5)</f>
        <v>2304002129.8879943</v>
      </c>
      <c r="F6" s="18">
        <f>E6*(1+F5)</f>
        <v>2475329618.7791624</v>
      </c>
      <c r="G6" s="18">
        <f>F6*(1+G5)</f>
        <v>2634960300.109211</v>
      </c>
      <c r="H6" s="18">
        <f>G6*(1+H5)</f>
        <v>2778872589.1051054</v>
      </c>
      <c r="I6" s="18">
        <f>H6*(1+I5)</f>
        <v>2903211376.296097</v>
      </c>
      <c r="J6" s="18">
        <f>I6*(1+J5)</f>
        <v>3004452639.8471775</v>
      </c>
      <c r="K6" s="18">
        <f>J6*(1+K5)</f>
        <v>3079563955.8433566</v>
      </c>
    </row>
    <row r="7" spans="1:11" x14ac:dyDescent="0.25">
      <c r="A7" t="s">
        <v>4</v>
      </c>
      <c r="B7" s="9">
        <f>Assumptions!B7</f>
        <v>0.6720433322776795</v>
      </c>
      <c r="C7" s="9">
        <f>Assumptions!B7</f>
        <v>0.6720433322776795</v>
      </c>
      <c r="D7" s="9">
        <f>Assumptions!B7</f>
        <v>0.6720433322776795</v>
      </c>
      <c r="E7" s="9">
        <f>Assumptions!B7</f>
        <v>0.6720433322776795</v>
      </c>
      <c r="F7" s="9">
        <f>Assumptions!B7</f>
        <v>0.6720433322776795</v>
      </c>
      <c r="G7" s="9">
        <f>Assumptions!B7</f>
        <v>0.6720433322776795</v>
      </c>
      <c r="H7" s="9">
        <f>Assumptions!B7</f>
        <v>0.6720433322776795</v>
      </c>
      <c r="I7" s="9">
        <f>Assumptions!B7</f>
        <v>0.6720433322776795</v>
      </c>
      <c r="J7" s="9">
        <f>Assumptions!B7</f>
        <v>0.6720433322776795</v>
      </c>
      <c r="K7" s="9">
        <f>Assumptions!B7</f>
        <v>0.6720433322776795</v>
      </c>
    </row>
    <row r="8" spans="1:11" x14ac:dyDescent="0.25">
      <c r="A8" t="s">
        <v>51</v>
      </c>
      <c r="B8" s="18">
        <f>B6*B7</f>
        <v>1182328959.4776165</v>
      </c>
      <c r="C8" s="18">
        <f>C6*C7</f>
        <v>1305264347.5945413</v>
      </c>
      <c r="D8" s="18">
        <f>D6*D7</f>
        <v>1428096443.180351</v>
      </c>
      <c r="E8" s="18">
        <f>E6*E7</f>
        <v>1548389268.9447987</v>
      </c>
      <c r="F8" s="18">
        <f>F6*F7</f>
        <v>1663528765.4899864</v>
      </c>
      <c r="G8" s="18">
        <f>G6*G7</f>
        <v>1770807500.5047886</v>
      </c>
      <c r="H8" s="18">
        <f>H6*H7</f>
        <v>1867522794.757298</v>
      </c>
      <c r="I8" s="18">
        <f>I6*I7</f>
        <v>1951083847.632497</v>
      </c>
      <c r="J8" s="18">
        <f>J6*J7</f>
        <v>2019122363.7533681</v>
      </c>
      <c r="K8" s="18">
        <f>K6*K7</f>
        <v>2069600422.847202</v>
      </c>
    </row>
    <row r="9" spans="1:11" x14ac:dyDescent="0.25">
      <c r="A9" t="s">
        <v>52</v>
      </c>
      <c r="B9" s="18">
        <f>B8*(1-Assumptions!B8)</f>
        <v>934039877.9873171</v>
      </c>
      <c r="C9" s="18">
        <f>C8*(1-Assumptions!B8)</f>
        <v>1031158834.5996877</v>
      </c>
      <c r="D9" s="18">
        <f>D8*(1-Assumptions!B8)</f>
        <v>1128196190.1124773</v>
      </c>
      <c r="E9" s="18">
        <f>E8*(1-Assumptions!B8)</f>
        <v>1223227522.466391</v>
      </c>
      <c r="F9" s="18">
        <f>F8*(1-Assumptions!B8)</f>
        <v>1314187724.7370894</v>
      </c>
      <c r="G9" s="18">
        <f>G8*(1-Assumptions!B8)</f>
        <v>1398937925.398783</v>
      </c>
      <c r="H9" s="18">
        <f>H8*(1-Assumptions!B8)</f>
        <v>1475343007.8582654</v>
      </c>
      <c r="I9" s="18">
        <f>I8*(1-Assumptions!B8)</f>
        <v>1541356239.6296728</v>
      </c>
      <c r="J9" s="18">
        <f>J8*(1-Assumptions!B8)</f>
        <v>1595106667.365161</v>
      </c>
      <c r="K9" s="18">
        <f>K8*(1-Assumptions!B8)</f>
        <v>1634984334.0492897</v>
      </c>
    </row>
    <row r="10" spans="1:11" x14ac:dyDescent="0.25">
      <c r="A10" t="s">
        <v>53</v>
      </c>
      <c r="B10" s="18">
        <f>B6*Assumptions!B9</f>
        <v>46171871.385128826</v>
      </c>
      <c r="C10" s="18">
        <f>C6*Assumptions!B9</f>
        <v>50972698.501233146</v>
      </c>
      <c r="D10" s="18">
        <f>D6*Assumptions!B9</f>
        <v>55769491.875777245</v>
      </c>
      <c r="E10" s="18">
        <f>E6*Assumptions!B9</f>
        <v>60467122.62839263</v>
      </c>
      <c r="F10" s="18">
        <f>F6*Assumptions!B9</f>
        <v>64963507.48238599</v>
      </c>
      <c r="G10" s="18">
        <f>G6*Assumptions!B9</f>
        <v>69152916.79673725</v>
      </c>
      <c r="H10" s="18">
        <f>H6*Assumptions!B9</f>
        <v>72929806.54591057</v>
      </c>
      <c r="I10" s="18">
        <f>I6*Assumptions!B9</f>
        <v>76193001.74656291</v>
      </c>
      <c r="J10" s="18">
        <f>J6*Assumptions!B9</f>
        <v>78850016.6072628</v>
      </c>
      <c r="K10" s="18">
        <f>K6*Assumptions!B9</f>
        <v>80821267.02244437</v>
      </c>
    </row>
    <row r="11" spans="1:11" x14ac:dyDescent="0.25">
      <c r="A11" t="s">
        <v>54</v>
      </c>
      <c r="B11" s="18">
        <f>-B6*B19</f>
        <v>-35938141.4838157</v>
      </c>
      <c r="C11" s="18">
        <f>-C6*C19</f>
        <v>-45704088.09525356</v>
      </c>
      <c r="D11" s="18">
        <f>-D6*D19</f>
        <v>-56601651.64884149</v>
      </c>
      <c r="E11" s="18">
        <f>-E6*E19</f>
        <v>-68521600.32593349</v>
      </c>
      <c r="F11" s="18">
        <f>-F6*F19</f>
        <v>-81300990.51648101</v>
      </c>
      <c r="G11" s="18">
        <f>-G6*G19</f>
        <v>-94723585.13322268</v>
      </c>
      <c r="H11" s="18">
        <f>-H6*H19</f>
        <v>-108523399.28825498</v>
      </c>
      <c r="I11" s="18">
        <f>-I6*I19</f>
        <v>-122391530.0558503</v>
      </c>
      <c r="J11" s="18">
        <f>-J6*J19</f>
        <v>-135986190.99569565</v>
      </c>
      <c r="K11" s="18">
        <f>-K6*K19</f>
        <v>-148945614.2744981</v>
      </c>
    </row>
    <row r="12" spans="1:11" x14ac:dyDescent="0.25">
      <c r="A12" t="s">
        <v>55</v>
      </c>
      <c r="B12" s="18">
        <f>-(B6-Assumptions!B29)*Assumptions!B11</f>
        <v>353957.18409405905</v>
      </c>
      <c r="C12" s="18">
        <f>-(C6-B6)*Assumptions!B11</f>
        <v>630434.9254080099</v>
      </c>
      <c r="D12" s="18">
        <f>-(D6-C6)*Assumptions!B11</f>
        <v>629905.2226092772</v>
      </c>
      <c r="E12" s="18">
        <f>-(E6-D6)*Assumptions!B11</f>
        <v>616883.3872781971</v>
      </c>
      <c r="F12" s="18">
        <f>-(F6-E6)*Assumptions!B11</f>
        <v>590456.1821283086</v>
      </c>
      <c r="G12" s="18">
        <f>-(G6-F6)*Assumptions!B11</f>
        <v>550144.7739571695</v>
      </c>
      <c r="H12" s="18">
        <f>-(H6-G6)*Assumptions!B11</f>
        <v>495973.53741546615</v>
      </c>
      <c r="I12" s="18">
        <f>-(I6-H6)*Assumptions!B11</f>
        <v>428516.20630413404</v>
      </c>
      <c r="J12" s="18">
        <f>-(J6-I6)*Assumptions!B11</f>
        <v>348913.8277640312</v>
      </c>
      <c r="K12" s="18">
        <f>-(K6-J6)*Assumptions!B11</f>
        <v>258860.62513826464</v>
      </c>
    </row>
    <row r="13" spans="1:11" x14ac:dyDescent="0.25">
      <c r="A13" s="19" t="s">
        <v>56</v>
      </c>
      <c r="B13" s="20">
        <f>B9+B10+B11+B12</f>
        <v>944627565.0727243</v>
      </c>
      <c r="C13" s="20">
        <f>C9+C10+C11+C12</f>
        <v>1037057879.9310753</v>
      </c>
      <c r="D13" s="20">
        <f>D9+D10+D11+D12</f>
        <v>1127993935.5620224</v>
      </c>
      <c r="E13" s="20">
        <f>E9+E10+E11+E12</f>
        <v>1215789928.1561284</v>
      </c>
      <c r="F13" s="20">
        <f>F9+F10+F11+F12</f>
        <v>1298440697.8851225</v>
      </c>
      <c r="G13" s="20">
        <f>G9+G10+G11+G12</f>
        <v>1373917401.8362548</v>
      </c>
      <c r="H13" s="20">
        <f>H9+H10+H11+H12</f>
        <v>1440245388.6533365</v>
      </c>
      <c r="I13" s="20">
        <f>I9+I10+I11+I12</f>
        <v>1495586227.5266895</v>
      </c>
      <c r="J13" s="20">
        <f>J9+J10+J11+J12</f>
        <v>1538319406.8044922</v>
      </c>
      <c r="K13" s="20">
        <f>K9+K10+K11+K12</f>
        <v>1567118847.4223742</v>
      </c>
    </row>
    <row r="14" spans="1:11" x14ac:dyDescent="0.25">
      <c r="A14" t="s">
        <v>57</v>
      </c>
      <c r="B14" s="21">
        <f>1/(1+Assumptions!$B$26)^(1-0.5*Assumptions!$B$32)</f>
        <v>0.9618973778292862</v>
      </c>
      <c r="C14" s="21">
        <f>1/(1+Assumptions!$B$26)^(2-0.5*Assumptions!$B$32)</f>
        <v>0.8899922451758177</v>
      </c>
      <c r="D14" s="21">
        <f>1/(1+Assumptions!$B$26)^(3-0.5*Assumptions!$B$32)</f>
        <v>0.8234622681481821</v>
      </c>
      <c r="E14" s="21">
        <f>1/(1+Assumptions!$B$26)^(4-0.5*Assumptions!$B$32)</f>
        <v>0.761905635402241</v>
      </c>
      <c r="F14" s="21">
        <f>1/(1+Assumptions!$B$26)^(5-0.5*Assumptions!$B$32)</f>
        <v>0.7049505723718619</v>
      </c>
      <c r="G14" s="21">
        <f>1/(1+Assumptions!$B$26)^(6-0.5*Assumptions!$B$32)</f>
        <v>0.6522530959165997</v>
      </c>
      <c r="H14" s="21">
        <f>1/(1+Assumptions!$B$26)^(7-0.5*Assumptions!$B$32)</f>
        <v>0.6034949368171761</v>
      </c>
      <c r="I14" s="21">
        <f>1/(1+Assumptions!$B$26)^(8-0.5*Assumptions!$B$32)</f>
        <v>0.5583816175715579</v>
      </c>
      <c r="J14" s="21">
        <f>1/(1+Assumptions!$B$26)^(9-0.5*Assumptions!$B$32)</f>
        <v>0.5166406738823789</v>
      </c>
      <c r="K14" s="21">
        <f>1/(1+Assumptions!$B$26)^(10-0.5*Assumptions!$B$32)</f>
        <v>0.4780200090942866</v>
      </c>
    </row>
    <row r="15" spans="1:11" x14ac:dyDescent="0.25">
      <c r="A15" s="19" t="s">
        <v>58</v>
      </c>
      <c r="B15" s="20">
        <f>B13*B14</f>
        <v>908634777.868717</v>
      </c>
      <c r="C15" s="20">
        <f>C13*C14</f>
        <v>922973470.9371313</v>
      </c>
      <c r="D15" s="20">
        <f>D13*D14</f>
        <v>928860444.6352974</v>
      </c>
      <c r="E15" s="20">
        <f>E13*E14</f>
        <v>926317197.7274399</v>
      </c>
      <c r="F15" s="20">
        <f>F13*F14</f>
        <v>915336513.1650369</v>
      </c>
      <c r="G15" s="20">
        <f>G13*G14</f>
        <v>896141878.8813882</v>
      </c>
      <c r="H15" s="20">
        <f>H13*H14</f>
        <v>869180799.8265746</v>
      </c>
      <c r="I15" s="20">
        <f>I13*I14</f>
        <v>835107856.9440969</v>
      </c>
      <c r="J15" s="20">
        <f>J13*J14</f>
        <v>794758374.9778142</v>
      </c>
      <c r="K15" s="20">
        <f>K13*K14</f>
        <v>749114165.6966712</v>
      </c>
    </row>
    <row r="17" spans="1:2" x14ac:dyDescent="0.25">
      <c r="A17" s="22" t="s">
        <v>59</v>
      </c>
      <c r="B17" s="23">
        <f>SUM(B15:K15)</f>
        <v>8746425480.660166</v>
      </c>
    </row>
    <row r="19" spans="1:11" x14ac:dyDescent="0.25">
      <c r="A19" t="s">
        <v>7</v>
      </c>
      <c r="B19" s="9">
        <f>Assumptions!$B$10+($B$20-Assumptions!$B$10)*0/9</f>
        <v>0.02042746916164617</v>
      </c>
      <c r="C19" s="9">
        <f>Assumptions!$B$10+($B$20-Assumptions!$B$10)*1/9</f>
        <v>0.02353172958324605</v>
      </c>
      <c r="D19" s="9">
        <f>Assumptions!$B$10+($B$20-Assumptions!$B$10)*2/9</f>
        <v>0.02663599000484593</v>
      </c>
      <c r="E19" s="9">
        <f>Assumptions!$B$10+($B$20-Assumptions!$B$10)*3/9</f>
        <v>0.029740250426445812</v>
      </c>
      <c r="F19" s="9">
        <f>Assumptions!$B$10+($B$20-Assumptions!$B$10)*4/9</f>
        <v>0.0328445108480457</v>
      </c>
      <c r="G19" s="9">
        <f>Assumptions!$B$10+($B$20-Assumptions!$B$10)*5/9</f>
        <v>0.035948771269645574</v>
      </c>
      <c r="H19" s="9">
        <f>Assumptions!$B$10+($B$20-Assumptions!$B$10)*6/9</f>
        <v>0.03905303169124545</v>
      </c>
      <c r="I19" s="9">
        <f>Assumptions!$B$10+($B$20-Assumptions!$B$10)*7/9</f>
        <v>0.042157292112845336</v>
      </c>
      <c r="J19" s="9">
        <f>Assumptions!$B$10+($B$20-Assumptions!$B$10)*8/9</f>
        <v>0.04526155253444522</v>
      </c>
      <c r="K19" s="9">
        <f>Assumptions!$B$10+($B$20-Assumptions!$B$10)*9/9</f>
        <v>0.0483658129560451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0.0483658129560451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1567118847.4223742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1634984334.0492897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-68124347.25205375</v>
      </c>
    </row>
    <row r="8" spans="1:2" x14ac:dyDescent="0.25">
      <c r="A8" t="s">
        <v>67</v>
      </c>
      <c r="B8" s="18">
        <f>IF(OR(Assumptions!$B$33=0,Assumptions!B12&lt;=0),B5,MAX(B5+B7,0))</f>
        <v>1566859986.797236</v>
      </c>
    </row>
    <row r="9" spans="1:2" x14ac:dyDescent="0.25">
      <c r="A9" t="s">
        <v>68</v>
      </c>
      <c r="B9" s="18">
        <f>B8*(1+Assumptions!B12)/(Assumptions!B26-Assumptions!B12)</f>
        <v>28785543636.914974</v>
      </c>
    </row>
    <row r="10" spans="1:2" x14ac:dyDescent="0.25">
      <c r="A10" t="s">
        <v>69</v>
      </c>
      <c r="B10" s="18">
        <f>B9/(1+Assumptions!B26)^(10-0.5*Assumptions!B32)</f>
        <v>13760065831.10208</v>
      </c>
    </row>
    <row r="11" spans="1:2" x14ac:dyDescent="0.25">
      <c r="A11" t="s">
        <v>70</v>
      </c>
      <c r="B11" s="18">
        <f>Forecast!B17+B10</f>
        <v>22506491311.762245</v>
      </c>
    </row>
    <row r="12" spans="1:2" x14ac:dyDescent="0.25">
      <c r="A12" t="s">
        <v>71</v>
      </c>
      <c r="B12" s="18">
        <f>-Assumptions!B30</f>
        <v>-1217500000</v>
      </c>
    </row>
    <row r="13" spans="1:2" x14ac:dyDescent="0.25">
      <c r="A13" t="s">
        <v>72</v>
      </c>
      <c r="B13" s="18">
        <f>B11+B12</f>
        <v>21288991311.762245</v>
      </c>
    </row>
    <row r="14" spans="1:2" x14ac:dyDescent="0.25">
      <c r="A14" s="19" t="s">
        <v>73</v>
      </c>
      <c r="B14" s="24">
        <f>B13/Assumptions!B31</f>
        <v>226.96152784394718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2150421689.8696465</v>
      </c>
    </row>
    <row r="18" spans="1:2" x14ac:dyDescent="0.25">
      <c r="A18" t="s">
        <v>68</v>
      </c>
      <c r="B18" s="18">
        <f>B17*Assumptions!B13</f>
        <v>43008433797.39293</v>
      </c>
    </row>
    <row r="19" spans="1:2" x14ac:dyDescent="0.25">
      <c r="A19" t="s">
        <v>69</v>
      </c>
      <c r="B19" s="18">
        <f>B18/(1+Assumptions!B26)^(10-0.5*Assumptions!B32)</f>
        <v>20558891914.960793</v>
      </c>
    </row>
    <row r="20" spans="1:2" x14ac:dyDescent="0.25">
      <c r="A20" t="s">
        <v>70</v>
      </c>
      <c r="B20" s="18">
        <f>Forecast!B17+B19</f>
        <v>29305317395.620956</v>
      </c>
    </row>
    <row r="21" spans="1:2" x14ac:dyDescent="0.25">
      <c r="A21" t="s">
        <v>71</v>
      </c>
      <c r="B21" s="18">
        <f>-Assumptions!B30</f>
        <v>-1217500000</v>
      </c>
    </row>
    <row r="22" spans="1:2" x14ac:dyDescent="0.25">
      <c r="A22" t="s">
        <v>72</v>
      </c>
      <c r="B22" s="18">
        <f>B20+B21</f>
        <v>28087817395.620956</v>
      </c>
    </row>
    <row r="23" spans="1:2" x14ac:dyDescent="0.25">
      <c r="A23" s="19" t="s">
        <v>73</v>
      </c>
      <c r="B23" s="25">
        <f>B22/Assumptions!B31</f>
        <v>299.44368225608696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307.21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226.96152784394718</v>
      </c>
    </row>
    <row r="29" spans="1:2" x14ac:dyDescent="0.25">
      <c r="A29" s="19" t="s">
        <v>81</v>
      </c>
      <c r="B29" s="11">
        <f>B28/B26-1</f>
        <v>-0.2612169921423547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0.060793</v>
      </c>
      <c r="B5" s="31">
        <v>305.10529917047836</v>
      </c>
      <c r="C5" s="31">
        <v>330.14203339246575</v>
      </c>
      <c r="D5" s="31">
        <v>362.27195946715005</v>
      </c>
      <c r="E5" s="31">
        <v>404.9503392329515</v>
      </c>
      <c r="F5" s="31">
        <v>464.3116589988202</v>
      </c>
    </row>
    <row r="6" spans="1:6" x14ac:dyDescent="0.25">
      <c r="A6" s="30">
        <v>0.070793</v>
      </c>
      <c r="B6" s="31">
        <v>246.83203399982193</v>
      </c>
      <c r="C6" s="31">
        <v>261.6659307785789</v>
      </c>
      <c r="D6" s="31">
        <v>279.81171422973586</v>
      </c>
      <c r="E6" s="31">
        <v>302.4871986862914</v>
      </c>
      <c r="F6" s="31">
        <v>331.59067473805294</v>
      </c>
    </row>
    <row r="7" spans="1:6" x14ac:dyDescent="0.25">
      <c r="A7" s="30">
        <v>0.080793</v>
      </c>
      <c r="B7" s="31">
        <v>206.36029312809768</v>
      </c>
      <c r="C7" s="31">
        <v>215.78788137161914</v>
      </c>
      <c r="D7" s="32">
        <v>226.9614751812392</v>
      </c>
      <c r="E7" s="31">
        <v>240.3966984321273</v>
      </c>
      <c r="F7" s="31">
        <v>256.8343726825788</v>
      </c>
    </row>
    <row r="8" spans="1:6" x14ac:dyDescent="0.25">
      <c r="A8" s="30">
        <v>0.090793</v>
      </c>
      <c r="B8" s="31">
        <v>176.63887695637115</v>
      </c>
      <c r="C8" s="31">
        <v>182.9276249541919</v>
      </c>
      <c r="D8" s="31">
        <v>190.21732866674597</v>
      </c>
      <c r="E8" s="31">
        <v>198.75496283982662</v>
      </c>
      <c r="F8" s="31">
        <v>208.87603473971978</v>
      </c>
    </row>
    <row r="9" spans="1:6" x14ac:dyDescent="0.25">
      <c r="A9" s="30">
        <v>0.100793</v>
      </c>
      <c r="B9" s="31">
        <v>153.9044770928404</v>
      </c>
      <c r="C9" s="31">
        <v>158.24826585799656</v>
      </c>
      <c r="D9" s="31">
        <v>163.20223380759725</v>
      </c>
      <c r="E9" s="31">
        <v>168.89566897529951</v>
      </c>
      <c r="F9" s="31">
        <v>175.49716085043377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1656600000</v>
      </c>
      <c r="C5" s="18">
        <v>1557400000</v>
      </c>
      <c r="D5" s="18">
        <v>1493100000</v>
      </c>
      <c r="E5" s="18">
        <v>1424900000</v>
      </c>
      <c r="F5" s="6" t="s">
        <v>91</v>
      </c>
    </row>
    <row r="6" spans="1:6" x14ac:dyDescent="0.25">
      <c r="A6" t="s">
        <v>51</v>
      </c>
      <c r="B6" s="18">
        <v>1121000000</v>
      </c>
      <c r="C6" s="18">
        <v>1058200000</v>
      </c>
      <c r="D6" s="18">
        <v>1000600000</v>
      </c>
      <c r="E6" s="18">
        <v>943100000</v>
      </c>
      <c r="F6" s="6" t="s">
        <v>92</v>
      </c>
    </row>
    <row r="7" spans="1:6" x14ac:dyDescent="0.25">
      <c r="A7" t="s">
        <v>93</v>
      </c>
      <c r="B7" s="18">
        <v>31200000</v>
      </c>
      <c r="C7" s="18">
        <v>36900000</v>
      </c>
      <c r="D7" s="18">
        <v>44100000</v>
      </c>
      <c r="E7" s="18">
        <v>46900000</v>
      </c>
      <c r="F7" s="6" t="s">
        <v>94</v>
      </c>
    </row>
    <row r="8" spans="1:6" x14ac:dyDescent="0.25">
      <c r="A8" t="s">
        <v>95</v>
      </c>
      <c r="B8" s="18">
        <v>22800000</v>
      </c>
      <c r="C8" s="18">
        <v>28100000</v>
      </c>
      <c r="D8" s="18">
        <v>45800000</v>
      </c>
      <c r="E8" s="18">
        <v>27400000</v>
      </c>
      <c r="F8" s="6" t="s">
        <v>96</v>
      </c>
    </row>
    <row r="9" spans="1:6" x14ac:dyDescent="0.25">
      <c r="A9" t="s">
        <v>97</v>
      </c>
      <c r="B9" s="18">
        <v>-169600000</v>
      </c>
      <c r="C9" s="18">
        <v>-36400000</v>
      </c>
      <c r="D9" s="18">
        <v>43100000</v>
      </c>
      <c r="E9" s="18">
        <v>-55700000</v>
      </c>
      <c r="F9" s="6" t="s">
        <v>98</v>
      </c>
    </row>
    <row r="10" spans="1:6" x14ac:dyDescent="0.25">
      <c r="A10" t="s">
        <v>99</v>
      </c>
      <c r="B10" s="18">
        <v>1798000000</v>
      </c>
      <c r="C10" s="18">
        <v>1801500000</v>
      </c>
      <c r="D10" s="18">
        <v>1797500000</v>
      </c>
      <c r="E10" s="18">
        <v>1795000000</v>
      </c>
      <c r="F10" s="6" t="s">
        <v>100</v>
      </c>
    </row>
    <row r="11" spans="1:6" x14ac:dyDescent="0.25">
      <c r="A11" t="s">
        <v>101</v>
      </c>
      <c r="B11" s="18">
        <v>580500000</v>
      </c>
      <c r="C11" s="18">
        <v>599900000</v>
      </c>
      <c r="D11" s="18">
        <v>926400000</v>
      </c>
      <c r="E11" s="18">
        <v>980400000</v>
      </c>
      <c r="F11" s="6" t="s">
        <v>102</v>
      </c>
    </row>
    <row r="12" spans="1:6" x14ac:dyDescent="0.25">
      <c r="A12" t="s">
        <v>34</v>
      </c>
      <c r="B12" s="34">
        <v>93800000</v>
      </c>
      <c r="C12" s="34">
        <v>98200000</v>
      </c>
      <c r="D12" s="34">
        <v>103500000</v>
      </c>
      <c r="E12" s="34">
        <v>108000000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