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<sst xmlns="http://schemas.openxmlformats.org/spreadsheetml/2006/main" count="112" uniqueCount="100">
  <si>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Vertiv Holdings Co (VRT)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</si>
  <si>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</si>
  <si>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</si>
  <si>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</si>
  <si>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</si>
  <si>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</si>
  <si>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</si>
  <si>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</si>
  <si>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</si>
  <si>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</si>
  <si>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</si>
  <si>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</si>
  <si>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</si>
  <si>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</si>
  <si>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</si>
  <si>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</si>
  <si>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</si>
  <si>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</si>
  <si>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</si>
  <si>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</si>
  <si>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</si>
  <si>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</si>
  <si>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</si>
  <si>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</si>
  <si>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</si>
  <si>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</si>
  <si>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</si>
  <si>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</si>
  <si>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</si>
  <si>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</si>
  <si>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</si>
  <si>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</si>
  <si>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</si>
  <si>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</si>
  <si>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</si>
  <si>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</si>
  <si>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</si>
  <si>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</si>
  <si>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</si>
  <si>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</si>
  <si>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</si>
  <si>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</si>
  <si>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</si>
  <si>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</si>
  <si>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</si>
  <si>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</si>
  <si>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</si>
  <si>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</si>
  <si>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</si>
  <si>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</si>
  <si>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</si>
  <si>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</si>
  <si>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</si>
  <si>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</si>
  <si>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</si>
  <si>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</si>
  <si>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</si>
  <si>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</si>
  <si>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</si>
  <si>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</si>
  <si>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</si>
  <si>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</si>
  <si>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</si>
  <si>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</si>
  <si>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</si>
  <si>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</si>
  <si>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</si>
  <si>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</si>
  <si>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</si>
  <si>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</si>
  <si>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</si>
  <si>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</si>
  <si>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</si>
  <si>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</si>
  <si>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</si>
  <si>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</si>
  <si>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</si>
  <si>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</si>
  <si>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</si>
  <si>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</si>
  <si>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</si>
  <si>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</si>
  <si>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</si>
  <si>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</si>
  <si>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</si>
  <si>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</si>
  <si>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</si>
  <si>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</si>
  <si>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</si>
  <si>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</si>
  <si>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</si>
  <si>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</si>
  <si>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</si>
  <si>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</si>
  <si>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</si>
  <si>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</si>
  <si>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</si>
  <si>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</si>
  <si>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44.2x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</si>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</sst>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0.2158543401649824</v>
      </c>
    </row>
    <row r="7" spans="1:2" x14ac:dyDescent="0.25">
      <c r="A7" t="s">
        <v>5</v>
      </c>
      <c r="B7" s="6">
        <v>0.13286519383522663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0.0393395733786103</v>
      </c>
    </row>
    <row r="10" spans="1:2" x14ac:dyDescent="0.25">
      <c r="A10" t="s">
        <v>8</v>
      </c>
      <c r="B10" s="6">
        <v>0.021056105085146652</v>
      </c>
    </row>
    <row r="11" spans="1:2" x14ac:dyDescent="0.25">
      <c r="A11" t="s">
        <v>9</v>
      </c>
      <c r="B11" s="6">
        <v>-0.09933832491729061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0.17487083579213206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1.72025</v>
      </c>
      <c r="C19" s="8" t="s">
        <v>19</v>
      </c>
    </row>
    <row r="20" spans="1:2" x14ac:dyDescent="0.25">
      <c r="A20" t="s">
        <v>20</v>
      </c>
      <c r="B20" s="10">
        <f>B17+B19*B18</f>
        <v>0.14459375000000002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96012197888</v>
      </c>
    </row>
    <row r="23" spans="1:2" x14ac:dyDescent="0.25">
      <c r="A23" t="s">
        <v>24</v>
      </c>
      <c r="B23" s="11">
        <v>3227900000</v>
      </c>
    </row>
    <row r="24" spans="1:2" x14ac:dyDescent="0.25">
      <c r="A24" t="s">
        <v>25</v>
      </c>
      <c r="B24" s="10">
        <f>B22/(B22+B23)</f>
        <v>0.9674738329697847</v>
      </c>
    </row>
    <row r="25" spans="1:2" x14ac:dyDescent="0.25">
      <c r="A25" t="s">
        <v>26</v>
      </c>
      <c r="B25" s="10">
        <f>1-B24</f>
        <v>0.03252616703021527</v>
      </c>
    </row>
    <row r="26" spans="1:2" x14ac:dyDescent="0.25">
      <c r="A26" t="s">
        <v>27</v>
      </c>
      <c r="B26" s="12">
        <f>B24*B20+B25*B21*(1-B8)</f>
        <v>0.14117493922022928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10229900000</v>
      </c>
      <c r="C29" s="8" t="s">
        <v>30</v>
      </c>
    </row>
    <row r="30" spans="1:2" x14ac:dyDescent="0.25">
      <c r="A30" t="s">
        <v>31</v>
      </c>
      <c r="B30" s="11">
        <v>1400000000</v>
      </c>
    </row>
    <row r="31" spans="1:2" x14ac:dyDescent="0.25">
      <c r="A31" t="s">
        <v>32</v>
      </c>
      <c r="B31" s="13">
        <v>390652824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0.2158543401649824</v>
      </c>
      <c r="C5" s="10">
        <f>Assumptions!B6</f>
        <v>0.2158543401649824</v>
      </c>
      <c r="D5" s="10">
        <f>Assumptions!B6</f>
        <v>0.2158543401649824</v>
      </c>
      <c r="E5" s="10">
        <f>Assumptions!B6</f>
        <v>0.2158543401649824</v>
      </c>
      <c r="F5" s="10">
        <f>Assumptions!B6</f>
        <v>0.2158543401649824</v>
      </c>
    </row>
    <row r="6" spans="1:6" x14ac:dyDescent="0.25">
      <c r="A6" t="s">
        <v>43</v>
      </c>
      <c r="B6" s="18">
        <f>Assumptions!B29*(1+B5)</f>
        <v>12438068314.453753</v>
      </c>
      <c r="C6" s="18">
        <f>B6*(1+C5)</f>
        <v>15122879343.397142</v>
      </c>
      <c r="D6" s="18">
        <f>C6*(1+D5)</f>
        <v>18387218485.460773</v>
      </c>
      <c r="E6" s="18">
        <f>D6*(1+E5)</f>
        <v>22356179399.109276</v>
      </c>
      <c r="F6" s="18">
        <f>E6*(1+F5)</f>
        <v>27181857751.913982</v>
      </c>
    </row>
    <row r="7" spans="1:6" x14ac:dyDescent="0.25">
      <c r="A7" t="s">
        <v>5</v>
      </c>
      <c r="B7" s="10">
        <f>Assumptions!B7</f>
        <v>0.13286519383522663</v>
      </c>
      <c r="C7" s="10">
        <f>Assumptions!B7</f>
        <v>0.13286519383522663</v>
      </c>
      <c r="D7" s="10">
        <f>Assumptions!B7</f>
        <v>0.13286519383522663</v>
      </c>
      <c r="E7" s="10">
        <f>Assumptions!B7</f>
        <v>0.13286519383522663</v>
      </c>
      <c r="F7" s="10">
        <f>Assumptions!B7</f>
        <v>0.13286519383522663</v>
      </c>
    </row>
    <row r="8" spans="1:6" x14ac:dyDescent="0.25">
      <c r="A8" t="s">
        <v>44</v>
      </c>
      <c r="B8" s="18">
        <f>B6*B7</f>
        <v>1652586357.5356884</v>
      </c>
      <c r="C8" s="18">
        <f>C6*C7</f>
        <v>2009304295.3072062</v>
      </c>
      <c r="D8" s="18">
        <f>D6*D7</f>
        <v>2443021348.161408</v>
      </c>
      <c r="E8" s="18">
        <f>E6*E7</f>
        <v>2970358109.2777543</v>
      </c>
      <c r="F8" s="18">
        <f>F6*F7</f>
        <v>3611522799.0096087</v>
      </c>
    </row>
    <row r="9" spans="1:6" x14ac:dyDescent="0.25">
      <c r="A9" t="s">
        <v>45</v>
      </c>
      <c r="B9" s="18">
        <f>B8*(1-Assumptions!B8)</f>
        <v>1305543222.453194</v>
      </c>
      <c r="C9" s="18">
        <f>C8*(1-Assumptions!B8)</f>
        <v>1587350393.292693</v>
      </c>
      <c r="D9" s="18">
        <f>D8*(1-Assumptions!B8)</f>
        <v>1929986865.0475123</v>
      </c>
      <c r="E9" s="18">
        <f>E8*(1-Assumptions!B8)</f>
        <v>2346582906.329426</v>
      </c>
      <c r="F9" s="18">
        <f>F8*(1-Assumptions!B8)</f>
        <v>2853103011.217591</v>
      </c>
    </row>
    <row r="10" spans="1:6" x14ac:dyDescent="0.25">
      <c r="A10" t="s">
        <v>46</v>
      </c>
      <c r="B10" s="18">
        <f>B6*Assumptions!B9</f>
        <v>489308301.14462113</v>
      </c>
      <c r="C10" s="18">
        <f>C6*Assumptions!B9</f>
        <v>594927621.6254418</v>
      </c>
      <c r="D10" s="18">
        <f>D6*Assumptions!B9</f>
        <v>723345330.8373238</v>
      </c>
      <c r="E10" s="18">
        <f>E6*Assumptions!B9</f>
        <v>879482559.9366353</v>
      </c>
      <c r="F10" s="18">
        <f>F6*Assumptions!B9</f>
        <v>1069322687.5983673</v>
      </c>
    </row>
    <row r="11" spans="1:6" x14ac:dyDescent="0.25">
      <c r="A11" t="s">
        <v>47</v>
      </c>
      <c r="B11" s="18">
        <f>-B6*Assumptions!B10</f>
        <v>-261897273.4853711</v>
      </c>
      <c r="C11" s="18">
        <f>-C6*Assumptions!B10</f>
        <v>-318428936.64456385</v>
      </c>
      <c r="D11" s="18">
        <f>-D6*Assumptions!B10</f>
        <v>-387163204.6534131</v>
      </c>
      <c r="E11" s="18">
        <f>-E6*Assumptions!B10</f>
        <v>-470734062.73003566</v>
      </c>
      <c r="F11" s="18">
        <f>-F6*Assumptions!B10</f>
        <v>-572344053.233809</v>
      </c>
    </row>
    <row r="12" spans="1:6" x14ac:dyDescent="0.25">
      <c r="A12" t="s">
        <v>48</v>
      </c>
      <c r="B12" s="18">
        <f>-(B6-Assumptions!B29)*Assumptions!B11</f>
        <v>219355741.4932728</v>
      </c>
      <c r="C12" s="18">
        <f>-(C6-B6)*Assumptions!B11</f>
        <v>266704630.3347038</v>
      </c>
      <c r="D12" s="18">
        <f>-(D6-C6)*Assumptions!B11</f>
        <v>324273982.3345466</v>
      </c>
      <c r="E12" s="18">
        <f>-(E6-D6)*Assumptions!B11</f>
        <v>394269928.82404155</v>
      </c>
      <c r="F12" s="18">
        <f>-(F6-E6)*Assumptions!B11</f>
        <v>479374804.1572497</v>
      </c>
    </row>
    <row r="13" spans="1:6" x14ac:dyDescent="0.25">
      <c r="A13" s="19" t="s">
        <v>49</v>
      </c>
      <c r="B13" s="20">
        <f>B9+B10+B11+B12</f>
        <v>1752309991.6057167</v>
      </c>
      <c r="C13" s="20">
        <f>C9+C10+C11+C12</f>
        <v>2130553708.6082745</v>
      </c>
      <c r="D13" s="20">
        <f>D9+D10+D11+D12</f>
        <v>2590442973.5659695</v>
      </c>
      <c r="E13" s="20">
        <f>E9+E10+E11+E12</f>
        <v>3149601332.3600664</v>
      </c>
      <c r="F13" s="20">
        <f>F9+F10+F11+F12</f>
        <v>3829456449.739399</v>
      </c>
    </row>
    <row r="14" spans="1:6" x14ac:dyDescent="0.25">
      <c r="A14" t="s">
        <v>50</v>
      </c>
      <c r="B14" s="21">
        <f>1/(1+Assumptions!$B$26)^(1-0.5*Assumptions!$B$32)</f>
        <v>0.9361035389875613</v>
      </c>
      <c r="C14" s="21">
        <f>1/(1+Assumptions!$B$26)^(2-0.5*Assumptions!$B$32)</f>
        <v>0.8202980163823136</v>
      </c>
      <c r="D14" s="21">
        <f>1/(1+Assumptions!$B$26)^(3-0.5*Assumptions!$B$32)</f>
        <v>0.7188188140048251</v>
      </c>
      <c r="E14" s="21">
        <f>1/(1+Assumptions!$B$26)^(4-0.5*Assumptions!$B$32)</f>
        <v>0.6298936204259775</v>
      </c>
      <c r="F14" s="21">
        <f>1/(1+Assumptions!$B$26)^(5-0.5*Assumptions!$B$32)</f>
        <v>0.5519693771547306</v>
      </c>
    </row>
    <row r="15" spans="1:6" x14ac:dyDescent="0.25">
      <c r="A15" s="19" t="s">
        <v>51</v>
      </c>
      <c r="B15" s="20">
        <f>B13*B14</f>
        <v>1640343584.545375</v>
      </c>
      <c r="C15" s="20">
        <f>C13*C14</f>
        <v>1747688980.9673493</v>
      </c>
      <c r="D15" s="20">
        <f>D13*D14</f>
        <v>1862059146.0058227</v>
      </c>
      <c r="E15" s="20">
        <f>E13*E14</f>
        <v>1983913786.1387646</v>
      </c>
      <c r="F15" s="20">
        <f>F13*F14</f>
        <v>2113742691.403822</v>
      </c>
    </row>
    <row r="17" spans="1:2" x14ac:dyDescent="0.25">
      <c r="A17" s="22" t="s">
        <v>52</v>
      </c>
      <c r="B17" s="23">
        <f>SUM(B15:F15)</f>
        <v>9347748189.061134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3829456449.739399</v>
      </c>
    </row>
    <row r="5" spans="1:2" x14ac:dyDescent="0.25">
      <c r="A5" t="s">
        <v>56</v>
      </c>
      <c r="B5" s="18">
        <f>IF(Assumptions!$B$33=0,B4,B4-Forecast!F11-Forecast!F10-Forecast!F12)</f>
        <v>3466204325.5144825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0.14296266090771909</v>
      </c>
    </row>
    <row r="7" spans="1:2" x14ac:dyDescent="0.25">
      <c r="A7" t="s">
        <v>58</v>
      </c>
      <c r="B7" s="18">
        <f>-MAX(Forecast!F9,0)*B6</f>
        <v>-495537793.62539613</v>
      </c>
    </row>
    <row r="8" spans="1:2" x14ac:dyDescent="0.25">
      <c r="A8" t="s">
        <v>59</v>
      </c>
      <c r="B8" s="18">
        <f>IF(OR(Assumptions!$B$33=0,Assumptions!B12&lt;=0),B5,MAX(B5+B7,0))</f>
        <v>2970666531.8890862</v>
      </c>
    </row>
    <row r="9" spans="1:2" x14ac:dyDescent="0.25">
      <c r="A9" t="s">
        <v>60</v>
      </c>
      <c r="B9" s="18">
        <f>B8*(1+Assumptions!B12)/(Assumptions!B26-Assumptions!B12)</f>
        <v>26209897036.521156</v>
      </c>
    </row>
    <row r="10" spans="1:2" x14ac:dyDescent="0.25">
      <c r="A10" t="s">
        <v>61</v>
      </c>
      <c r="B10" s="18">
        <f>B9/(1+Assumptions!B26)^(5-0.5*Assumptions!B32)</f>
        <v>14467060542.538202</v>
      </c>
    </row>
    <row r="11" spans="1:2" x14ac:dyDescent="0.25">
      <c r="A11" t="s">
        <v>62</v>
      </c>
      <c r="B11" s="18">
        <f>Forecast!B17+B10</f>
        <v>23814808731.599335</v>
      </c>
    </row>
    <row r="12" spans="1:2" x14ac:dyDescent="0.25">
      <c r="A12" t="s">
        <v>63</v>
      </c>
      <c r="B12" s="18">
        <f>-Assumptions!B30</f>
        <v>-1400000000</v>
      </c>
    </row>
    <row r="13" spans="1:2" x14ac:dyDescent="0.25">
      <c r="A13" t="s">
        <v>64</v>
      </c>
      <c r="B13" s="18">
        <f>B11+B12</f>
        <v>22414808731.599335</v>
      </c>
    </row>
    <row r="14" spans="1:2" x14ac:dyDescent="0.25">
      <c r="A14" s="19" t="s">
        <v>65</v>
      </c>
      <c r="B14" s="24">
        <f>B13/Assumptions!B31</f>
        <v>57.377823362667755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4680845486.607976</v>
      </c>
    </row>
    <row r="18" spans="1:2" x14ac:dyDescent="0.25">
      <c r="A18" t="s">
        <v>60</v>
      </c>
      <c r="B18" s="18">
        <f>B17*Assumptions!B13</f>
        <v>93616909732.15952</v>
      </c>
    </row>
    <row r="19" spans="1:2" x14ac:dyDescent="0.25">
      <c r="A19" t="s">
        <v>61</v>
      </c>
      <c r="B19" s="18">
        <f>B18/(1+Assumptions!B26)^(5-0.5*Assumptions!B32)</f>
        <v>51673667356.01073</v>
      </c>
    </row>
    <row r="20" spans="1:2" x14ac:dyDescent="0.25">
      <c r="A20" t="s">
        <v>62</v>
      </c>
      <c r="B20" s="18">
        <f>Forecast!B17+B19</f>
        <v>61021415545.07186</v>
      </c>
    </row>
    <row r="21" spans="1:2" x14ac:dyDescent="0.25">
      <c r="A21" t="s">
        <v>63</v>
      </c>
      <c r="B21" s="18">
        <f>-Assumptions!B30</f>
        <v>-1400000000</v>
      </c>
    </row>
    <row r="22" spans="1:2" x14ac:dyDescent="0.25">
      <c r="A22" t="s">
        <v>64</v>
      </c>
      <c r="B22" s="18">
        <f>B20+B21</f>
        <v>59621415545.07186</v>
      </c>
    </row>
    <row r="23" spans="1:2" x14ac:dyDescent="0.25">
      <c r="A23" s="19" t="s">
        <v>65</v>
      </c>
      <c r="B23" s="25">
        <f>B22/Assumptions!B31</f>
        <v>152.61995276161593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249.39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57.377823362667755</v>
      </c>
    </row>
    <row r="29" spans="1:2" x14ac:dyDescent="0.25">
      <c r="A29" s="19" t="s">
        <v>73</v>
      </c>
      <c r="B29" s="12">
        <f>B28/B26-1</f>
        <v>-0.7699273292326566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0.121175</v>
      </c>
      <c r="B5" s="31">
        <v>67.83776922442283</v>
      </c>
      <c r="C5" s="31">
        <v>68.83917447558024</v>
      </c>
      <c r="D5" s="31">
        <v>69.92893690151303</v>
      </c>
      <c r="E5" s="31">
        <v>71.12159291704577</v>
      </c>
      <c r="F5" s="31">
        <v>72.43505263351007</v>
      </c>
    </row>
    <row r="6" spans="1:6" x14ac:dyDescent="0.25">
      <c r="A6" s="30">
        <v>0.131175</v>
      </c>
      <c r="B6" s="31">
        <v>61.605339490908264</v>
      </c>
      <c r="C6" s="31">
        <v>62.30857749305604</v>
      </c>
      <c r="D6" s="31">
        <v>63.06432760630742</v>
      </c>
      <c r="E6" s="31">
        <v>63.88037516959552</v>
      </c>
      <c r="F6" s="31">
        <v>64.7661245161727</v>
      </c>
    </row>
    <row r="7" spans="1:6" x14ac:dyDescent="0.25">
      <c r="A7" s="30">
        <v>0.141175</v>
      </c>
      <c r="B7" s="31">
        <v>56.363037188917254</v>
      </c>
      <c r="C7" s="31">
        <v>56.855256886876205</v>
      </c>
      <c r="D7" s="32">
        <v>57.377791764701975</v>
      </c>
      <c r="E7" s="31">
        <v>57.93473201981308</v>
      </c>
      <c r="F7" s="31">
        <v>58.53093831299859</v>
      </c>
    </row>
    <row r="8" spans="1:6" x14ac:dyDescent="0.25">
      <c r="A8" s="30">
        <v>0.151175</v>
      </c>
      <c r="B8" s="31">
        <v>51.892812544047835</v>
      </c>
      <c r="C8" s="31">
        <v>52.233064493961045</v>
      </c>
      <c r="D8" s="31">
        <v>52.58961208112678</v>
      </c>
      <c r="E8" s="31">
        <v>52.964472508423434</v>
      </c>
      <c r="F8" s="31">
        <v>53.36001024843083</v>
      </c>
    </row>
    <row r="9" spans="1:6" x14ac:dyDescent="0.25">
      <c r="A9" s="30">
        <v>0.161175</v>
      </c>
      <c r="B9" s="31">
        <v>48.0362715094546</v>
      </c>
      <c r="C9" s="31">
        <v>48.26557368565282</v>
      </c>
      <c r="D9" s="31">
        <v>48.50220468426806</v>
      </c>
      <c r="E9" s="31">
        <v>48.747002563895755</v>
      </c>
      <c r="F9" s="31">
        <v>49.00093822380426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10229900000</v>
      </c>
      <c r="C5" s="18">
        <v>8011800000</v>
      </c>
      <c r="D5" s="18">
        <v>6863200000</v>
      </c>
      <c r="E5" s="18">
        <v>5691500000</v>
      </c>
      <c r="F5" s="8" t="s">
        <v>84</v>
      </c>
    </row>
    <row r="6" spans="1:6" x14ac:dyDescent="0.25">
      <c r="A6" t="s">
        <v>44</v>
      </c>
      <c r="B6" s="18">
        <v>1896200000</v>
      </c>
      <c r="C6" s="18">
        <v>1382000000</v>
      </c>
      <c r="D6" s="18">
        <v>916800000</v>
      </c>
      <c r="E6" s="18">
        <v>227800000</v>
      </c>
      <c r="F6" s="8" t="s">
        <v>85</v>
      </c>
    </row>
    <row r="7" spans="1:6" x14ac:dyDescent="0.25">
      <c r="A7" t="s">
        <v>86</v>
      </c>
      <c r="B7" s="18">
        <v>308600000</v>
      </c>
      <c r="C7" s="18">
        <v>277000000</v>
      </c>
      <c r="D7" s="18">
        <v>271000000</v>
      </c>
      <c r="E7" s="18">
        <v>302400000</v>
      </c>
      <c r="F7" s="8" t="s">
        <v>87</v>
      </c>
    </row>
    <row r="8" spans="1:6" x14ac:dyDescent="0.25">
      <c r="A8" t="s">
        <v>88</v>
      </c>
      <c r="B8" s="18">
        <v>226400000</v>
      </c>
      <c r="C8" s="18">
        <v>184100000</v>
      </c>
      <c r="D8" s="18">
        <v>134600000</v>
      </c>
      <c r="E8" s="18">
        <v>111000000</v>
      </c>
      <c r="F8" s="8" t="s">
        <v>89</v>
      </c>
    </row>
    <row r="9" spans="1:6" x14ac:dyDescent="0.25">
      <c r="A9" t="s">
        <v>90</v>
      </c>
      <c r="B9" s="18">
        <v>-339300000</v>
      </c>
      <c r="C9" s="18">
        <v>-114100000</v>
      </c>
      <c r="D9" s="18">
        <v>-66700000</v>
      </c>
      <c r="E9" s="18">
        <v>449200000</v>
      </c>
      <c r="F9" s="8" t="s">
        <v>91</v>
      </c>
    </row>
    <row r="10" spans="1:6" x14ac:dyDescent="0.25">
      <c r="A10" t="s">
        <v>92</v>
      </c>
      <c r="B10" s="18">
        <v>3227900000</v>
      </c>
      <c r="C10" s="18">
        <v>3145300000</v>
      </c>
      <c r="D10" s="18">
        <v>3126400000</v>
      </c>
      <c r="E10" s="18">
        <v>3368100000</v>
      </c>
      <c r="F10" s="8" t="s">
        <v>93</v>
      </c>
    </row>
    <row r="11" spans="1:6" x14ac:dyDescent="0.25">
      <c r="A11" t="s">
        <v>94</v>
      </c>
      <c r="B11" s="18">
        <v>1827900000</v>
      </c>
      <c r="C11" s="18">
        <v>1227600000</v>
      </c>
      <c r="D11" s="18">
        <v>780400000</v>
      </c>
      <c r="E11" s="18">
        <v>260600000</v>
      </c>
      <c r="F11" s="8" t="s">
        <v>95</v>
      </c>
    </row>
    <row r="12" spans="1:6" x14ac:dyDescent="0.25">
      <c r="A12" t="s">
        <v>32</v>
      </c>
      <c r="B12" s="34">
        <v>390652824</v>
      </c>
      <c r="C12" s="34">
        <v>386325058</v>
      </c>
      <c r="D12" s="34">
        <v>386226267</v>
      </c>
      <c r="E12" s="34">
        <v>378224051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2026-09-19T01:03:29Z</dcterms:modified>
</cp:coreProperties>
</file>