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<sst xmlns="http://schemas.openxmlformats.org/spreadsheetml/2006/main" count="120" uniqueCount="107">
  <si>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Vertiv Holdings Co (VRT)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</si>
  <si>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</si>
  <si>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</si>
  <si>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</si>
  <si>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</si>
  <si>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</si>
  <si>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</si>
  <si>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</si>
  <si>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</si>
  <si>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</si>
  <si>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</si>
  <si>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</si>
  <si>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</si>
  <si>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</si>
  <si>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</si>
  <si>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</si>
  <si>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</si>
  <si>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</si>
  <si>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</si>
  <si>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</si>
  <si>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</si>
  <si>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</si>
  <si>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</si>
  <si>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</si>
  <si>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22.0x interest cover. Book interest / average debt was lower, at 2.7%.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</si>
  <si>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</si>
  <si>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</si>
  <si>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</si>
  <si>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</si>
  <si>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</si>
  <si>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</si>
  <si>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</si>
  <si>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</si>
  <si>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</si>
  <si>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</si>
  <si>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</si>
  <si>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</si>
  <si>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</si>
  <si>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</si>
  <si>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</si>
  <si>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</si>
  <si>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</si>
  <si>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</si>
  <si>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</si>
  <si>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</si>
  <si>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</si>
  <si>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</si>
  <si>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</si>
  <si>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</si>
  <si>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</si>
  <si>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</si>
  <si>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</si>
  <si>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</si>
  <si>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</si>
  <si>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</si>
  <si>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</si>
  <si>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</si>
  <si>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</si>
  <si>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</si>
  <si>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</si>
  <si>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</si>
  <si>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</si>
  <si>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</si>
  <si>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</si>
  <si>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</si>
  <si>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</si>
  <si>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</si>
  <si>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</si>
  <si>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</si>
  <si>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</si>
  <si>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</si>
  <si>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</si>
  <si>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</si>
  <si>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</si>
  <si>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</si>
  <si>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</si>
  <si>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</si>
  <si>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</si>
  <si>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</si>
  <si>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</si>
  <si>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</si>
  <si>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</si>
  <si>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</si>
  <si>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</si>
  <si>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</si>
  <si>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</si>
  <si>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</si>
  <si>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</si>
  <si>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</si>
  <si>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</si>
  <si>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</si>
  <si>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</si>
  <si>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</si>
  <si>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</si>
  <si>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</si>
  <si>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</si>
  <si>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</si>
  <si>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</si>
  <si>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</si>
  <si>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</si>
  <si>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</si>
  <si>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</si>
  <si>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</si>
  <si>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</si>
  <si>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</si>
  <si>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41.2x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</si>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</sst>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0.4381804748824525</v>
      </c>
    </row>
    <row r="7" spans="1:2" x14ac:dyDescent="0.25">
      <c r="A7" t="s">
        <v>4</v>
      </c>
      <c r="B7" s="5">
        <v>0.13286519383522663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0.0393395733786103</v>
      </c>
    </row>
    <row r="10" spans="1:3" x14ac:dyDescent="0.25">
      <c r="A10" t="s">
        <v>7</v>
      </c>
      <c r="B10" s="5">
        <v>0.021056105085146652</v>
      </c>
      <c r="C10" s="6" t="s">
        <v>8</v>
      </c>
    </row>
    <row r="11" spans="1:2" x14ac:dyDescent="0.25">
      <c r="A11" t="s">
        <v>9</v>
      </c>
      <c r="B11" s="5">
        <v>0.2898281517161068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0.17487083579213206</v>
      </c>
      <c r="C14" s="6" t="s">
        <v>13</v>
      </c>
    </row>
    <row r="15" spans="1:3" x14ac:dyDescent="0.25">
      <c r="A15" t="s">
        <v>14</v>
      </c>
      <c r="B15" s="5">
        <v>0.010788264630061169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1.7021600000000001</v>
      </c>
      <c r="C19" s="6" t="s">
        <v>21</v>
      </c>
    </row>
    <row r="20" spans="1:2" x14ac:dyDescent="0.25">
      <c r="A20" t="s">
        <v>22</v>
      </c>
      <c r="B20" s="9">
        <f>B17+B19*B18</f>
        <v>0.120941368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89526550528</v>
      </c>
    </row>
    <row r="23" spans="1:2" x14ac:dyDescent="0.25">
      <c r="A23" t="s">
        <v>26</v>
      </c>
      <c r="B23" s="10">
        <v>3227900000</v>
      </c>
    </row>
    <row r="24" spans="1:2" x14ac:dyDescent="0.25">
      <c r="A24" t="s">
        <v>27</v>
      </c>
      <c r="B24" s="9">
        <f>B22/(B22+B23)</f>
        <v>0.9651995135368131</v>
      </c>
    </row>
    <row r="25" spans="1:2" x14ac:dyDescent="0.25">
      <c r="A25" t="s">
        <v>28</v>
      </c>
      <c r="B25" s="9">
        <f>1-B24</f>
        <v>0.0348004864631869</v>
      </c>
    </row>
    <row r="26" spans="1:2" x14ac:dyDescent="0.25">
      <c r="A26" t="s">
        <v>29</v>
      </c>
      <c r="B26" s="11">
        <f>B24*B20+B25*B21*(1-B8)</f>
        <v>0.11818799638523196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10229900000</v>
      </c>
      <c r="C29" s="6" t="s">
        <v>32</v>
      </c>
    </row>
    <row r="30" spans="1:2" x14ac:dyDescent="0.25">
      <c r="A30" t="s">
        <v>33</v>
      </c>
      <c r="B30" s="10">
        <v>1400000000</v>
      </c>
    </row>
    <row r="31" spans="1:2" x14ac:dyDescent="0.25">
      <c r="A31" t="s">
        <v>34</v>
      </c>
      <c r="B31" s="12">
        <v>390652824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0.4381804748824525</v>
      </c>
      <c r="C5" s="5">
        <v>0.3196376936853458</v>
      </c>
      <c r="D5" s="5">
        <v>0.28280798197467755</v>
      </c>
      <c r="E5" s="5">
        <v>0.24597827026400934</v>
      </c>
      <c r="F5" s="5">
        <v>0.20914855855334114</v>
      </c>
      <c r="G5" s="5">
        <v>0.1723188468426729</v>
      </c>
      <c r="H5" s="5">
        <v>0.13548913513200467</v>
      </c>
      <c r="I5" s="5">
        <v>0.09865942342133646</v>
      </c>
      <c r="J5" s="5">
        <v>0.061829711710668256</v>
      </c>
      <c r="K5" s="5">
        <v>0.025000000000000022</v>
      </c>
    </row>
    <row r="6" spans="1:11" x14ac:dyDescent="0.25">
      <c r="A6" t="s">
        <v>50</v>
      </c>
      <c r="B6" s="18">
        <f>Assumptions!B29*(1+B5)</f>
        <v>14712442440</v>
      </c>
      <c r="C6" s="18">
        <f>B6*(1+C5)</f>
        <v>19415093610</v>
      </c>
      <c r="D6" s="18">
        <f>C6*(1+D5)</f>
        <v>24905837053.693558</v>
      </c>
      <c r="E6" s="18">
        <f>D6*(1+E5)</f>
        <v>31032131771.63837</v>
      </c>
      <c r="F6" s="18">
        <f>E6*(1+F5)</f>
        <v>37522457400.51388</v>
      </c>
      <c r="G6" s="18">
        <f>F6*(1+G5)</f>
        <v>43988283990.47375</v>
      </c>
      <c r="H6" s="18">
        <f>G6*(1+H5)</f>
        <v>49948218544.28404</v>
      </c>
      <c r="I6" s="18">
        <f>H6*(1+I5)</f>
        <v>54876080986.78601</v>
      </c>
      <c r="J6" s="18">
        <f>I6*(1+J5)</f>
        <v>58269053254.01028</v>
      </c>
      <c r="K6" s="18">
        <f>J6*(1+K5)</f>
        <v>59725779585.36053</v>
      </c>
    </row>
    <row r="7" spans="1:11" x14ac:dyDescent="0.25">
      <c r="A7" t="s">
        <v>4</v>
      </c>
      <c r="B7" s="9">
        <f>Assumptions!B7</f>
        <v>0.13286519383522663</v>
      </c>
      <c r="C7" s="9">
        <f>Assumptions!B7</f>
        <v>0.13286519383522663</v>
      </c>
      <c r="D7" s="9">
        <f>Assumptions!B7</f>
        <v>0.13286519383522663</v>
      </c>
      <c r="E7" s="9">
        <f>Assumptions!B7</f>
        <v>0.13286519383522663</v>
      </c>
      <c r="F7" s="9">
        <f>Assumptions!B7</f>
        <v>0.13286519383522663</v>
      </c>
      <c r="G7" s="9">
        <f>Assumptions!B7</f>
        <v>0.13286519383522663</v>
      </c>
      <c r="H7" s="9">
        <f>Assumptions!B7</f>
        <v>0.13286519383522663</v>
      </c>
      <c r="I7" s="9">
        <f>Assumptions!B7</f>
        <v>0.13286519383522663</v>
      </c>
      <c r="J7" s="9">
        <f>Assumptions!B7</f>
        <v>0.13286519383522663</v>
      </c>
      <c r="K7" s="9">
        <f>Assumptions!B7</f>
        <v>0.13286519383522663</v>
      </c>
    </row>
    <row r="8" spans="1:11" x14ac:dyDescent="0.25">
      <c r="A8" t="s">
        <v>51</v>
      </c>
      <c r="B8" s="18">
        <f>B6*B7</f>
        <v>1954771516.5802147</v>
      </c>
      <c r="C8" s="18">
        <f>C6*C7</f>
        <v>2579590175.82172</v>
      </c>
      <c r="D8" s="18">
        <f>D6*D7</f>
        <v>3309118867.7675643</v>
      </c>
      <c r="E8" s="18">
        <f>E6*E7</f>
        <v>4123090202.959027</v>
      </c>
      <c r="F8" s="18">
        <f>F6*F7</f>
        <v>4985428575.693311</v>
      </c>
      <c r="G8" s="18">
        <f>G6*G7</f>
        <v>5844511878.873291</v>
      </c>
      <c r="H8" s="18">
        <f>H6*H7</f>
        <v>6636379738.61056</v>
      </c>
      <c r="I8" s="18">
        <f>I6*I7</f>
        <v>7291121137.226918</v>
      </c>
      <c r="J8" s="18">
        <f>J6*J7</f>
        <v>7741929055.1892185</v>
      </c>
      <c r="K8" s="18">
        <f>K6*K7</f>
        <v>7935477281.568948</v>
      </c>
    </row>
    <row r="9" spans="1:11" x14ac:dyDescent="0.25">
      <c r="A9" t="s">
        <v>52</v>
      </c>
      <c r="B9" s="18">
        <f>B8*(1-Assumptions!B8)</f>
        <v>1544269498.0983696</v>
      </c>
      <c r="C9" s="18">
        <f>C8*(1-Assumptions!B8)</f>
        <v>2037876238.899159</v>
      </c>
      <c r="D9" s="18">
        <f>D8*(1-Assumptions!B8)</f>
        <v>2614203905.536376</v>
      </c>
      <c r="E9" s="18">
        <f>E8*(1-Assumptions!B8)</f>
        <v>3257241260.337631</v>
      </c>
      <c r="F9" s="18">
        <f>F8*(1-Assumptions!B8)</f>
        <v>3938488574.7977157</v>
      </c>
      <c r="G9" s="18">
        <f>G8*(1-Assumptions!B8)</f>
        <v>4617164384.3099</v>
      </c>
      <c r="H9" s="18">
        <f>H8*(1-Assumptions!B8)</f>
        <v>5242739993.502343</v>
      </c>
      <c r="I9" s="18">
        <f>I8*(1-Assumptions!B8)</f>
        <v>5759985698.4092655</v>
      </c>
      <c r="J9" s="18">
        <f>J8*(1-Assumptions!B8)</f>
        <v>6116123953.599483</v>
      </c>
      <c r="K9" s="18">
        <f>K8*(1-Assumptions!B8)</f>
        <v>6269027052.439469</v>
      </c>
    </row>
    <row r="10" spans="1:11" x14ac:dyDescent="0.25">
      <c r="A10" t="s">
        <v>53</v>
      </c>
      <c r="B10" s="18">
        <f>B6*Assumptions!B9</f>
        <v>578781208.9469603</v>
      </c>
      <c r="C10" s="18">
        <f>C6*Assumptions!B9</f>
        <v>763781499.7231829</v>
      </c>
      <c r="D10" s="18">
        <f>D6*Assumptions!B9</f>
        <v>979785004.329489</v>
      </c>
      <c r="E10" s="18">
        <f>E6*Assumptions!B9</f>
        <v>1220790824.9250717</v>
      </c>
      <c r="F10" s="18">
        <f>F6*Assumptions!B9</f>
        <v>1476117466.2532947</v>
      </c>
      <c r="G10" s="18">
        <f>G6*Assumptions!B9</f>
        <v>1730480325.8423905</v>
      </c>
      <c r="H10" s="18">
        <f>H6*Assumptions!B9</f>
        <v>1964941608.5537257</v>
      </c>
      <c r="I10" s="18">
        <f>I6*Assumptions!B9</f>
        <v>2158801614.71023</v>
      </c>
      <c r="J10" s="18">
        <f>J6*Assumptions!B9</f>
        <v>2292279696.1882887</v>
      </c>
      <c r="K10" s="18">
        <f>K6*Assumptions!B9</f>
        <v>2349586688.5929956</v>
      </c>
    </row>
    <row r="11" spans="1:11" x14ac:dyDescent="0.25">
      <c r="A11" t="s">
        <v>54</v>
      </c>
      <c r="B11" s="18">
        <f>-B6*B19</f>
        <v>-309786734.07581145</v>
      </c>
      <c r="C11" s="18">
        <f>-C6*C19</f>
        <v>-425983475.77712584</v>
      </c>
      <c r="D11" s="18">
        <f>-D6*D19</f>
        <v>-568490083.5963166</v>
      </c>
      <c r="E11" s="18">
        <f>-E6*E19</f>
        <v>-735781522.7325032</v>
      </c>
      <c r="F11" s="18">
        <f>-F6*F19</f>
        <v>-922866621.4701985</v>
      </c>
      <c r="G11" s="18">
        <f>-G6*G19</f>
        <v>-1120811934.2847486</v>
      </c>
      <c r="H11" s="18">
        <f>-H6*H19</f>
        <v>-1316860740.9910789</v>
      </c>
      <c r="I11" s="18">
        <f>-I6*I19</f>
        <v>-1495332284.8408976</v>
      </c>
      <c r="J11" s="18">
        <f>-J6*J19</f>
        <v>-1639340954.6950963</v>
      </c>
      <c r="K11" s="18">
        <f>-K6*K19</f>
        <v>-1733166001.9775755</v>
      </c>
    </row>
    <row r="12" spans="1:11" x14ac:dyDescent="0.25">
      <c r="A12" t="s">
        <v>55</v>
      </c>
      <c r="B12" s="18">
        <f>-(B6-Assumptions!B29)*Assumptions!B11</f>
        <v>-1299166990.3742077</v>
      </c>
      <c r="C12" s="18">
        <f>-(C6-B6)*Assumptions!B11</f>
        <v>-1362960696.7666872</v>
      </c>
      <c r="D12" s="18">
        <f>-(D6-C6)*Assumptions!B11</f>
        <v>-1591372023.8330352</v>
      </c>
      <c r="E12" s="18">
        <f>-(E6-D6)*Assumptions!B11</f>
        <v>-1775572674.970093</v>
      </c>
      <c r="F12" s="18">
        <f>-(F6-E6)*Assumptions!B11</f>
        <v>-1881079081.052667</v>
      </c>
      <c r="G12" s="18">
        <f>-(G6-F6)*Assumptions!B11</f>
        <v>-1873978569.8849266</v>
      </c>
      <c r="H12" s="18">
        <f>-(H6-G6)*Assumptions!B11</f>
        <v>-1727356816.0797975</v>
      </c>
      <c r="I12" s="18">
        <f>-(I6-H6)*Assumptions!B11</f>
        <v>-1428233263.621565</v>
      </c>
      <c r="J12" s="18">
        <f>-(J6-I6)*Assumptions!B11</f>
        <v>-983378881.0336175</v>
      </c>
      <c r="K12" s="18">
        <f>-(K6-J6)*Assumptions!B11</f>
        <v>-422200300.171428</v>
      </c>
    </row>
    <row r="13" spans="1:11" x14ac:dyDescent="0.25">
      <c r="A13" s="19" t="s">
        <v>56</v>
      </c>
      <c r="B13" s="20">
        <f>B9+B10+B11+B12</f>
        <v>514096982.5953109</v>
      </c>
      <c r="C13" s="20">
        <f>C9+C10+C11+C12</f>
        <v>1012713566.0785291</v>
      </c>
      <c r="D13" s="20">
        <f>D9+D10+D11+D12</f>
        <v>1434126802.4365132</v>
      </c>
      <c r="E13" s="20">
        <f>E9+E10+E11+E12</f>
        <v>1966677887.560107</v>
      </c>
      <c r="F13" s="20">
        <f>F9+F10+F11+F12</f>
        <v>2610660338.528145</v>
      </c>
      <c r="G13" s="20">
        <f>G9+G10+G11+G12</f>
        <v>3352854205.9826155</v>
      </c>
      <c r="H13" s="20">
        <f>H9+H10+H11+H12</f>
        <v>4163464044.9851913</v>
      </c>
      <c r="I13" s="20">
        <f>I9+I10+I11+I12</f>
        <v>4995221764.657033</v>
      </c>
      <c r="J13" s="20">
        <f>J9+J10+J11+J12</f>
        <v>5785683814.059057</v>
      </c>
      <c r="K13" s="20">
        <f>K9+K10+K11+K12</f>
        <v>6463247438.883462</v>
      </c>
    </row>
    <row r="14" spans="1:11" x14ac:dyDescent="0.25">
      <c r="A14" t="s">
        <v>57</v>
      </c>
      <c r="B14" s="21">
        <f>1/(1+Assumptions!$B$26)^(1-0.5*Assumptions!$B$32)</f>
        <v>0.9456764784326508</v>
      </c>
      <c r="C14" s="21">
        <f>1/(1+Assumptions!$B$26)^(2-0.5*Assumptions!$B$32)</f>
        <v>0.8457222591279289</v>
      </c>
      <c r="D14" s="21">
        <f>1/(1+Assumptions!$B$26)^(3-0.5*Assumptions!$B$32)</f>
        <v>0.7563328008008461</v>
      </c>
      <c r="E14" s="21">
        <f>1/(1+Assumptions!$B$26)^(4-0.5*Assumptions!$B$32)</f>
        <v>0.6763914504947687</v>
      </c>
      <c r="F14" s="21">
        <f>1/(1+Assumptions!$B$26)^(5-0.5*Assumptions!$B$32)</f>
        <v>0.6048995810018891</v>
      </c>
      <c r="G14" s="21">
        <f>1/(1+Assumptions!$B$26)^(6-0.5*Assumptions!$B$32)</f>
        <v>0.5409641160138983</v>
      </c>
      <c r="H14" s="21">
        <f>1/(1+Assumptions!$B$26)^(7-0.5*Assumptions!$B$32)</f>
        <v>0.48378637381430833</v>
      </c>
      <c r="I14" s="21">
        <f>1/(1+Assumptions!$B$26)^(8-0.5*Assumptions!$B$32)</f>
        <v>0.4326520901478511</v>
      </c>
      <c r="J14" s="21">
        <f>1/(1+Assumptions!$B$26)^(9-0.5*Assumptions!$B$32)</f>
        <v>0.3869224956326541</v>
      </c>
      <c r="K14" s="21">
        <f>1/(1+Assumptions!$B$26)^(10-0.5*Assumptions!$B$32)</f>
        <v>0.3460263362542426</v>
      </c>
    </row>
    <row r="15" spans="1:11" x14ac:dyDescent="0.25">
      <c r="A15" s="19" t="s">
        <v>58</v>
      </c>
      <c r="B15" s="20">
        <f>B13*B14</f>
        <v>486169424.0735854</v>
      </c>
      <c r="C15" s="20">
        <f>C13*C14</f>
        <v>856474404.9534347</v>
      </c>
      <c r="D15" s="20">
        <f>D13*D14</f>
        <v>1084677141.1903696</v>
      </c>
      <c r="E15" s="20">
        <f>E13*E14</f>
        <v>1330244109.0227683</v>
      </c>
      <c r="F15" s="20">
        <f>F13*F14</f>
        <v>1579187344.913925</v>
      </c>
      <c r="G15" s="20">
        <f>G13*G14</f>
        <v>1813773811.6628664</v>
      </c>
      <c r="H15" s="20">
        <f>H13*H14</f>
        <v>2014227172.829638</v>
      </c>
      <c r="I15" s="20">
        <f>I13*I14</f>
        <v>2161193137.2309027</v>
      </c>
      <c r="J15" s="20">
        <f>J13*J14</f>
        <v>2238611220.277183</v>
      </c>
      <c r="K15" s="20">
        <f>K13*K14</f>
        <v>2236453831.5814614</v>
      </c>
    </row>
    <row r="17" spans="1:2" x14ac:dyDescent="0.25">
      <c r="A17" s="22" t="s">
        <v>59</v>
      </c>
      <c r="B17" s="23">
        <f>SUM(B15:K15)</f>
        <v>15801011597.736135</v>
      </c>
    </row>
    <row r="19" spans="1:11" x14ac:dyDescent="0.25">
      <c r="A19" t="s">
        <v>7</v>
      </c>
      <c r="B19" s="9">
        <f>Assumptions!$B$10+($B$20-Assumptions!$B$10)*0/9</f>
        <v>0.021056105085146652</v>
      </c>
      <c r="C19" s="9">
        <f>Assumptions!$B$10+($B$20-Assumptions!$B$10)*1/9</f>
        <v>0.02194084068478132</v>
      </c>
      <c r="D19" s="9">
        <f>Assumptions!$B$10+($B$20-Assumptions!$B$10)*2/9</f>
        <v>0.022825576284415987</v>
      </c>
      <c r="E19" s="9">
        <f>Assumptions!$B$10+($B$20-Assumptions!$B$10)*3/9</f>
        <v>0.023710311884050657</v>
      </c>
      <c r="F19" s="9">
        <f>Assumptions!$B$10+($B$20-Assumptions!$B$10)*4/9</f>
        <v>0.024595047483685323</v>
      </c>
      <c r="G19" s="9">
        <f>Assumptions!$B$10+($B$20-Assumptions!$B$10)*5/9</f>
        <v>0.025479783083319992</v>
      </c>
      <c r="H19" s="9">
        <f>Assumptions!$B$10+($B$20-Assumptions!$B$10)*6/9</f>
        <v>0.026364518682954658</v>
      </c>
      <c r="I19" s="9">
        <f>Assumptions!$B$10+($B$20-Assumptions!$B$10)*7/9</f>
        <v>0.027249254282589327</v>
      </c>
      <c r="J19" s="9">
        <f>Assumptions!$B$10+($B$20-Assumptions!$B$10)*8/9</f>
        <v>0.028133989882223993</v>
      </c>
      <c r="K19" s="9">
        <f>Assumptions!$B$10+($B$20-Assumptions!$B$10)*9/9</f>
        <v>0.029018725481858663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0.029018725481858663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6463247438.883462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7616173899.259112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0.14296266090771909</v>
      </c>
    </row>
    <row r="7" spans="1:2" x14ac:dyDescent="0.25">
      <c r="A7" t="s">
        <v>66</v>
      </c>
      <c r="B7" s="18">
        <f>-MAX(B5,0)*B6</f>
        <v>-1088828486.574001</v>
      </c>
    </row>
    <row r="8" spans="1:2" x14ac:dyDescent="0.25">
      <c r="A8" t="s">
        <v>67</v>
      </c>
      <c r="B8" s="18">
        <f>IF(OR(Assumptions!$B$33=0,Assumptions!B12&lt;=0),B5,MAX(B5+B7,0))</f>
        <v>6527345412.685111</v>
      </c>
    </row>
    <row r="9" spans="1:2" x14ac:dyDescent="0.25">
      <c r="A9" t="s">
        <v>68</v>
      </c>
      <c r="B9" s="18">
        <f>B8*(1+Assumptions!B12)/(Assumptions!B26-Assumptions!B12)</f>
        <v>71796039270.38103</v>
      </c>
    </row>
    <row r="10" spans="1:2" x14ac:dyDescent="0.25">
      <c r="A10" t="s">
        <v>69</v>
      </c>
      <c r="B10" s="18">
        <f>B9/(1+Assumptions!B26)^(10-0.5*Assumptions!B32)</f>
        <v>24843320426.295673</v>
      </c>
    </row>
    <row r="11" spans="1:2" x14ac:dyDescent="0.25">
      <c r="A11" t="s">
        <v>70</v>
      </c>
      <c r="B11" s="18">
        <f>Forecast!B17+B10</f>
        <v>40644332024.03181</v>
      </c>
    </row>
    <row r="12" spans="1:2" x14ac:dyDescent="0.25">
      <c r="A12" t="s">
        <v>71</v>
      </c>
      <c r="B12" s="18">
        <f>-Assumptions!B30</f>
        <v>-1400000000</v>
      </c>
    </row>
    <row r="13" spans="1:2" x14ac:dyDescent="0.25">
      <c r="A13" t="s">
        <v>72</v>
      </c>
      <c r="B13" s="18">
        <f>B11+B12</f>
        <v>39244332024.03181</v>
      </c>
    </row>
    <row r="14" spans="1:2" x14ac:dyDescent="0.25">
      <c r="A14" s="19" t="s">
        <v>73</v>
      </c>
      <c r="B14" s="24">
        <f>B13/Assumptions!B31</f>
        <v>100.45833439061946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10285063970.161943</v>
      </c>
    </row>
    <row r="18" spans="1:2" x14ac:dyDescent="0.25">
      <c r="A18" t="s">
        <v>68</v>
      </c>
      <c r="B18" s="18">
        <f>B17*Assumptions!B13</f>
        <v>205701279403.23886</v>
      </c>
    </row>
    <row r="19" spans="1:2" x14ac:dyDescent="0.25">
      <c r="A19" t="s">
        <v>69</v>
      </c>
      <c r="B19" s="18">
        <f>B18/(1+Assumptions!B26)^(10-0.5*Assumptions!B32)</f>
        <v>71178060074.71304</v>
      </c>
    </row>
    <row r="20" spans="1:2" x14ac:dyDescent="0.25">
      <c r="A20" t="s">
        <v>70</v>
      </c>
      <c r="B20" s="18">
        <f>Forecast!B17+B19</f>
        <v>86979071672.44917</v>
      </c>
    </row>
    <row r="21" spans="1:2" x14ac:dyDescent="0.25">
      <c r="A21" t="s">
        <v>71</v>
      </c>
      <c r="B21" s="18">
        <f>-Assumptions!B30</f>
        <v>-1400000000</v>
      </c>
    </row>
    <row r="22" spans="1:2" x14ac:dyDescent="0.25">
      <c r="A22" t="s">
        <v>72</v>
      </c>
      <c r="B22" s="18">
        <f>B20+B21</f>
        <v>85579071672.44917</v>
      </c>
    </row>
    <row r="23" spans="1:2" x14ac:dyDescent="0.25">
      <c r="A23" s="19" t="s">
        <v>73</v>
      </c>
      <c r="B23" s="25">
        <f>B22/Assumptions!B31</f>
        <v>219.06681947459612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232.5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100.45833439061946</v>
      </c>
    </row>
    <row r="29" spans="1:2" x14ac:dyDescent="0.25">
      <c r="A29" s="19" t="s">
        <v>81</v>
      </c>
      <c r="B29" s="11">
        <f>B28/B26-1</f>
        <v>-0.5679211424059378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0.098188</v>
      </c>
      <c r="B5" s="31">
        <v>133.26141799847161</v>
      </c>
      <c r="C5" s="31">
        <v>135.2750978571959</v>
      </c>
      <c r="D5" s="31">
        <v>137.69382348756946</v>
      </c>
      <c r="E5" s="31">
        <v>140.60669688077462</v>
      </c>
      <c r="F5" s="31">
        <v>144.13102221549204</v>
      </c>
    </row>
    <row r="6" spans="1:6" x14ac:dyDescent="0.25">
      <c r="A6" s="30">
        <v>0.108188</v>
      </c>
      <c r="B6" s="31">
        <v>114.50978417674506</v>
      </c>
      <c r="C6" s="31">
        <v>115.50084845616345</v>
      </c>
      <c r="D6" s="31">
        <v>116.71898711127425</v>
      </c>
      <c r="E6" s="31">
        <v>118.20776329288563</v>
      </c>
      <c r="F6" s="31">
        <v>120.02264460357597</v>
      </c>
    </row>
    <row r="7" spans="1:6" x14ac:dyDescent="0.25">
      <c r="A7" s="30">
        <v>0.118188</v>
      </c>
      <c r="B7" s="31">
        <v>99.61289295380297</v>
      </c>
      <c r="C7" s="31">
        <v>99.97086752653452</v>
      </c>
      <c r="D7" s="32">
        <v>100.45832918004852</v>
      </c>
      <c r="E7" s="31">
        <v>101.09730252326834</v>
      </c>
      <c r="F7" s="31">
        <v>101.91510730598468</v>
      </c>
    </row>
    <row r="8" spans="1:6" x14ac:dyDescent="0.25">
      <c r="A8" s="30">
        <v>0.128188</v>
      </c>
      <c r="B8" s="31">
        <v>87.53449440153034</v>
      </c>
      <c r="C8" s="31">
        <v>87.49402191291615</v>
      </c>
      <c r="D8" s="31">
        <v>87.52742561815111</v>
      </c>
      <c r="E8" s="31">
        <v>87.64599144736663</v>
      </c>
      <c r="F8" s="31">
        <v>87.86342751598207</v>
      </c>
    </row>
    <row r="9" spans="1:6" x14ac:dyDescent="0.25">
      <c r="A9" s="30">
        <v>0.138188</v>
      </c>
      <c r="B9" s="31">
        <v>77.57593561132184</v>
      </c>
      <c r="C9" s="31">
        <v>77.28339724129073</v>
      </c>
      <c r="D9" s="31">
        <v>77.03215413162373</v>
      </c>
      <c r="E9" s="31">
        <v>76.827931768562</v>
      </c>
      <c r="F9" s="31">
        <v>76.6775653577407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10229900000</v>
      </c>
      <c r="C5" s="18">
        <v>8011800000</v>
      </c>
      <c r="D5" s="18">
        <v>6863200000</v>
      </c>
      <c r="E5" s="18">
        <v>5691500000</v>
      </c>
      <c r="F5" s="6" t="s">
        <v>91</v>
      </c>
    </row>
    <row r="6" spans="1:6" x14ac:dyDescent="0.25">
      <c r="A6" t="s">
        <v>51</v>
      </c>
      <c r="B6" s="18">
        <v>1896200000</v>
      </c>
      <c r="C6" s="18">
        <v>1382000000</v>
      </c>
      <c r="D6" s="18">
        <v>916800000</v>
      </c>
      <c r="E6" s="18">
        <v>227800000</v>
      </c>
      <c r="F6" s="6" t="s">
        <v>92</v>
      </c>
    </row>
    <row r="7" spans="1:6" x14ac:dyDescent="0.25">
      <c r="A7" t="s">
        <v>93</v>
      </c>
      <c r="B7" s="18">
        <v>308600000</v>
      </c>
      <c r="C7" s="18">
        <v>277000000</v>
      </c>
      <c r="D7" s="18">
        <v>271000000</v>
      </c>
      <c r="E7" s="18">
        <v>302400000</v>
      </c>
      <c r="F7" s="6" t="s">
        <v>94</v>
      </c>
    </row>
    <row r="8" spans="1:6" x14ac:dyDescent="0.25">
      <c r="A8" t="s">
        <v>95</v>
      </c>
      <c r="B8" s="18">
        <v>226400000</v>
      </c>
      <c r="C8" s="18">
        <v>184100000</v>
      </c>
      <c r="D8" s="18">
        <v>134600000</v>
      </c>
      <c r="E8" s="18">
        <v>111000000</v>
      </c>
      <c r="F8" s="6" t="s">
        <v>96</v>
      </c>
    </row>
    <row r="9" spans="1:6" x14ac:dyDescent="0.25">
      <c r="A9" t="s">
        <v>97</v>
      </c>
      <c r="B9" s="18">
        <v>-339300000</v>
      </c>
      <c r="C9" s="18">
        <v>-114100000</v>
      </c>
      <c r="D9" s="18">
        <v>-66700000</v>
      </c>
      <c r="E9" s="18">
        <v>449200000</v>
      </c>
      <c r="F9" s="6" t="s">
        <v>98</v>
      </c>
    </row>
    <row r="10" spans="1:6" x14ac:dyDescent="0.25">
      <c r="A10" t="s">
        <v>99</v>
      </c>
      <c r="B10" s="18">
        <v>3227900000</v>
      </c>
      <c r="C10" s="18">
        <v>3145300000</v>
      </c>
      <c r="D10" s="18">
        <v>3126400000</v>
      </c>
      <c r="E10" s="18">
        <v>3368100000</v>
      </c>
      <c r="F10" s="6" t="s">
        <v>100</v>
      </c>
    </row>
    <row r="11" spans="1:6" x14ac:dyDescent="0.25">
      <c r="A11" t="s">
        <v>101</v>
      </c>
      <c r="B11" s="18">
        <v>1827900000</v>
      </c>
      <c r="C11" s="18">
        <v>1227600000</v>
      </c>
      <c r="D11" s="18">
        <v>780400000</v>
      </c>
      <c r="E11" s="18">
        <v>260600000</v>
      </c>
      <c r="F11" s="6" t="s">
        <v>102</v>
      </c>
    </row>
    <row r="12" spans="1:6" x14ac:dyDescent="0.25">
      <c r="A12" t="s">
        <v>34</v>
      </c>
      <c r="B12" s="34">
        <v>390652824</v>
      </c>
      <c r="C12" s="34">
        <v>386325058</v>
      </c>
      <c r="D12" s="34">
        <v>386226267</v>
      </c>
      <c r="E12" s="34">
        <v>378224051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