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<sst xmlns="http://schemas.openxmlformats.org/spreadsheetml/2006/main" count="121" uniqueCount="108">
  <si>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Vertex Pharmaceuticals Incorporated (VRTX)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</si>
  <si>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</si>
  <si>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</si>
  <si>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</si>
  <si>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</si>
  <si>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</si>
  <si>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</si>
  <si>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</si>
  <si>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</si>
  <si>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</si>
  <si>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</si>
  <si>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</si>
  <si>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</si>
  <si>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</si>
  <si>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</si>
  <si>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</si>
  <si>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</si>
  <si>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</si>
  <si>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</si>
  <si>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</si>
  <si>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</si>
  <si>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</si>
  <si>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</si>
  <si>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</si>
  <si>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342.4x interest cover. Book interest / average debt was lower, at 0.7%.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</si>
  <si>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</si>
  <si>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</si>
  <si>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</si>
  <si>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</si>
  <si>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</si>
  <si>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</si>
  <si>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</si>
  <si>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</si>
  <si>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</si>
  <si>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</si>
  <si>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</si>
  <si>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</si>
  <si>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</si>
  <si>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</si>
  <si>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</si>
  <si>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</si>
  <si>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</si>
  <si>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</si>
  <si>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</si>
  <si>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</si>
  <si>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</si>
  <si>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</si>
  <si>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</si>
  <si>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</si>
  <si>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</si>
  <si>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</si>
  <si>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</si>
  <si>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</si>
  <si>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</si>
  <si>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</si>
  <si>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</si>
  <si>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</si>
  <si>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</si>
  <si>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</si>
  <si>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</si>
  <si>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</si>
  <si>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</si>
  <si>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</si>
  <si>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</si>
  <si>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</si>
  <si>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</si>
  <si>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</si>
  <si>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</si>
  <si>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</si>
  <si>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</si>
  <si>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</si>
  <si>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</si>
  <si>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</si>
  <si>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</si>
  <si>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</si>
  <si>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</si>
  <si>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</si>
  <si>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</si>
  <si>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</si>
  <si>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</si>
  <si>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</si>
  <si>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</si>
  <si>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</si>
  <si>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</si>
  <si>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</si>
  <si>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</si>
  <si>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</si>
  <si>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</si>
  <si>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</si>
  <si>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</si>
  <si>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</si>
  <si>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</si>
  <si>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</si>
  <si>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</si>
  <si>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</si>
  <si>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</si>
  <si>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</si>
  <si>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</si>
  <si>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</si>
  <si>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</si>
  <si>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</si>
  <si>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</si>
  <si>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</si>
  <si>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</si>
  <si>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</si>
  <si>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3.2% of revenue against depreciation of 1.8%.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</si>
  <si>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28.8x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</si>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</sst>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0.10662159849349662</v>
      </c>
    </row>
    <row r="7" spans="1:2" x14ac:dyDescent="0.25">
      <c r="A7" t="s">
        <v>4</v>
      </c>
      <c r="B7" s="5">
        <v>0.3043095974396955</v>
      </c>
    </row>
    <row r="8" spans="1:2" x14ac:dyDescent="0.25">
      <c r="A8" t="s">
        <v>5</v>
      </c>
      <c r="B8" s="5">
        <v>0.1943360558397595</v>
      </c>
    </row>
    <row r="9" spans="1:2" x14ac:dyDescent="0.25">
      <c r="A9" t="s">
        <v>6</v>
      </c>
      <c r="B9" s="5">
        <v>0.01781484281820133</v>
      </c>
    </row>
    <row r="10" spans="1:3" x14ac:dyDescent="0.25">
      <c r="A10" t="s">
        <v>7</v>
      </c>
      <c r="B10" s="5">
        <v>0.0324032265215458</v>
      </c>
      <c r="C10" s="6" t="s">
        <v>8</v>
      </c>
    </row>
    <row r="11" spans="1:2" x14ac:dyDescent="0.25">
      <c r="A11" t="s">
        <v>9</v>
      </c>
      <c r="B11" s="5">
        <v>0.2071223889028561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0.19657961980110142</v>
      </c>
      <c r="C14" s="6" t="s">
        <v>13</v>
      </c>
    </row>
    <row r="15" spans="1:3" x14ac:dyDescent="0.25">
      <c r="A15" t="s">
        <v>14</v>
      </c>
      <c r="B15" s="5">
        <v>0.01660564121513431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0.51827</v>
      </c>
      <c r="C19" s="6" t="s">
        <v>21</v>
      </c>
    </row>
    <row r="20" spans="1:2" x14ac:dyDescent="0.25">
      <c r="A20" t="s">
        <v>22</v>
      </c>
      <c r="B20" s="9">
        <f>B17+B19*B18</f>
        <v>0.070862821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141654245376</v>
      </c>
    </row>
    <row r="23" spans="1:2" x14ac:dyDescent="0.25">
      <c r="A23" t="s">
        <v>26</v>
      </c>
      <c r="B23" s="10">
        <v>2030500000</v>
      </c>
    </row>
    <row r="24" spans="1:2" x14ac:dyDescent="0.25">
      <c r="A24" t="s">
        <v>27</v>
      </c>
      <c r="B24" s="9">
        <f>B22/(B22+B23)</f>
        <v>0.9858683676218619</v>
      </c>
    </row>
    <row r="25" spans="1:2" x14ac:dyDescent="0.25">
      <c r="A25" t="s">
        <v>28</v>
      </c>
      <c r="B25" s="9">
        <f>1-B24</f>
        <v>0.014131632378138081</v>
      </c>
    </row>
    <row r="26" spans="1:2" x14ac:dyDescent="0.25">
      <c r="A26" t="s">
        <v>29</v>
      </c>
      <c r="B26" s="11">
        <f>B24*B20+B25*B21*(1-B8)</f>
        <v>0.07046415391754669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12001300000</v>
      </c>
      <c r="C29" s="6" t="s">
        <v>32</v>
      </c>
    </row>
    <row r="30" spans="1:2" x14ac:dyDescent="0.25">
      <c r="A30" t="s">
        <v>33</v>
      </c>
      <c r="B30" s="10">
        <v>-4577600000</v>
      </c>
    </row>
    <row r="31" spans="1:2" x14ac:dyDescent="0.25">
      <c r="A31" t="s">
        <v>34</v>
      </c>
      <c r="B31" s="12">
        <v>258000000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0.10662159849349662</v>
      </c>
      <c r="C5" s="5">
        <v>0.09942596358163835</v>
      </c>
      <c r="D5" s="5">
        <v>0.09012271813393356</v>
      </c>
      <c r="E5" s="5">
        <v>0.08081947268622877</v>
      </c>
      <c r="F5" s="5">
        <v>0.07151622723852397</v>
      </c>
      <c r="G5" s="5">
        <v>0.062212981790819175</v>
      </c>
      <c r="H5" s="5">
        <v>0.05290973634311438</v>
      </c>
      <c r="I5" s="5">
        <v>0.043606490895409585</v>
      </c>
      <c r="J5" s="5">
        <v>0.034303245447704786</v>
      </c>
      <c r="K5" s="5">
        <v>0.024999999999999994</v>
      </c>
    </row>
    <row r="6" spans="1:11" x14ac:dyDescent="0.25">
      <c r="A6" t="s">
        <v>50</v>
      </c>
      <c r="B6" s="18">
        <f>Assumptions!B29*(1+B5)</f>
        <v>13280897790</v>
      </c>
      <c r="C6" s="18">
        <f>B6*(1+C5)</f>
        <v>14601363850.000002</v>
      </c>
      <c r="D6" s="18">
        <f>C6*(1+D5)</f>
        <v>15917278448.624557</v>
      </c>
      <c r="E6" s="18">
        <f>D6*(1+E5)</f>
        <v>17203704499.44227</v>
      </c>
      <c r="F6" s="18">
        <f>E6*(1+F5)</f>
        <v>18434048539.7688</v>
      </c>
      <c r="G6" s="18">
        <f>F6*(1+G5)</f>
        <v>19580885665.904514</v>
      </c>
      <c r="H6" s="18">
        <f>G6*(1+H5)</f>
        <v>20616905163.85219</v>
      </c>
      <c r="I6" s="18">
        <f>H6*(1+I5)</f>
        <v>21515936051.171234</v>
      </c>
      <c r="J6" s="18">
        <f>I6*(1+J5)</f>
        <v>22254002486.571682</v>
      </c>
      <c r="K6" s="18">
        <f>J6*(1+K5)</f>
        <v>22810352548.735973</v>
      </c>
    </row>
    <row r="7" spans="1:11" x14ac:dyDescent="0.25">
      <c r="A7" t="s">
        <v>4</v>
      </c>
      <c r="B7" s="9">
        <f>Assumptions!B7</f>
        <v>0.3043095974396955</v>
      </c>
      <c r="C7" s="9">
        <f>Assumptions!B7</f>
        <v>0.3043095974396955</v>
      </c>
      <c r="D7" s="9">
        <f>Assumptions!B7</f>
        <v>0.3043095974396955</v>
      </c>
      <c r="E7" s="9">
        <f>Assumptions!B7</f>
        <v>0.3043095974396955</v>
      </c>
      <c r="F7" s="9">
        <f>Assumptions!B7</f>
        <v>0.3043095974396955</v>
      </c>
      <c r="G7" s="9">
        <f>Assumptions!B7</f>
        <v>0.3043095974396955</v>
      </c>
      <c r="H7" s="9">
        <f>Assumptions!B7</f>
        <v>0.3043095974396955</v>
      </c>
      <c r="I7" s="9">
        <f>Assumptions!B7</f>
        <v>0.3043095974396955</v>
      </c>
      <c r="J7" s="9">
        <f>Assumptions!B7</f>
        <v>0.3043095974396955</v>
      </c>
      <c r="K7" s="9">
        <f>Assumptions!B7</f>
        <v>0.3043095974396955</v>
      </c>
    </row>
    <row r="8" spans="1:11" x14ac:dyDescent="0.25">
      <c r="A8" t="s">
        <v>51</v>
      </c>
      <c r="B8" s="18">
        <f>B6*B7</f>
        <v>4041504660.1126413</v>
      </c>
      <c r="C8" s="18">
        <f>C6*C7</f>
        <v>4443335155.264023</v>
      </c>
      <c r="D8" s="18">
        <f>D6*D7</f>
        <v>4843780597.03648</v>
      </c>
      <c r="E8" s="18">
        <f>E6*E7</f>
        <v>5235252390.696754</v>
      </c>
      <c r="F8" s="18">
        <f>F6*F7</f>
        <v>5609657890.320849</v>
      </c>
      <c r="G8" s="18">
        <f>G6*G7</f>
        <v>5958651434.5041065</v>
      </c>
      <c r="H8" s="18">
        <f>H6*H7</f>
        <v>6273922110.864239</v>
      </c>
      <c r="I8" s="18">
        <f>I6*I7</f>
        <v>6547505838.270149</v>
      </c>
      <c r="J8" s="18">
        <f>J6*J7</f>
        <v>6772106538.110611</v>
      </c>
      <c r="K8" s="18">
        <f>K6*K7</f>
        <v>6941409201.563376</v>
      </c>
    </row>
    <row r="9" spans="1:11" x14ac:dyDescent="0.25">
      <c r="A9" t="s">
        <v>52</v>
      </c>
      <c r="B9" s="18">
        <f>B8*(1-Assumptions!B8)</f>
        <v>3256094584.8083425</v>
      </c>
      <c r="C9" s="18">
        <f>C8*(1-Assumptions!B8)</f>
        <v>3579834926.415867</v>
      </c>
      <c r="D9" s="18">
        <f>D8*(1-Assumptions!B8)</f>
        <v>3902459380.4552546</v>
      </c>
      <c r="E9" s="18">
        <f>E8*(1-Assumptions!B8)</f>
        <v>4217854089.7630754</v>
      </c>
      <c r="F9" s="18">
        <f>F8*(1-Assumptions!B8)</f>
        <v>4519499101.305509</v>
      </c>
      <c r="G9" s="18">
        <f>G8*(1-Assumptions!B8)</f>
        <v>4800670616.598653</v>
      </c>
      <c r="H9" s="18">
        <f>H8*(1-Assumptions!B8)</f>
        <v>5054672833.193024</v>
      </c>
      <c r="I9" s="18">
        <f>I8*(1-Assumptions!B8)</f>
        <v>5275089378.07293</v>
      </c>
      <c r="J9" s="18">
        <f>J8*(1-Assumptions!B8)</f>
        <v>5456042063.767547</v>
      </c>
      <c r="K9" s="18">
        <f>K8*(1-Assumptions!B8)</f>
        <v>5592443115.361735</v>
      </c>
    </row>
    <row r="10" spans="1:11" x14ac:dyDescent="0.25">
      <c r="A10" t="s">
        <v>53</v>
      </c>
      <c r="B10" s="18">
        <f>B6*Assumptions!B9</f>
        <v>236597106.61344743</v>
      </c>
      <c r="C10" s="18">
        <f>C6*Assumptions!B9</f>
        <v>260121001.91911706</v>
      </c>
      <c r="D10" s="18">
        <f>D6*Assumptions!B9</f>
        <v>283563813.65579003</v>
      </c>
      <c r="E10" s="18">
        <f>E6*Assumptions!B9</f>
        <v>306481291.548347</v>
      </c>
      <c r="F10" s="18">
        <f>F6*Assumptions!B9</f>
        <v>328399677.2390749</v>
      </c>
      <c r="G10" s="18">
        <f>G6*Assumptions!B9</f>
        <v>348830400.3792604</v>
      </c>
      <c r="H10" s="18">
        <f>H6*Assumptions!B9</f>
        <v>367286924.8917901</v>
      </c>
      <c r="I10" s="18">
        <f>I6*Assumptions!B9</f>
        <v>383303018.83808696</v>
      </c>
      <c r="J10" s="18">
        <f>J6*Assumptions!B9</f>
        <v>396451556.3741361</v>
      </c>
      <c r="K10" s="18">
        <f>K6*Assumptions!B9</f>
        <v>406362845.28348947</v>
      </c>
    </row>
    <row r="11" spans="1:11" x14ac:dyDescent="0.25">
      <c r="A11" t="s">
        <v>54</v>
      </c>
      <c r="B11" s="18">
        <f>-B6*B19</f>
        <v>-430343939.498867</v>
      </c>
      <c r="C11" s="18">
        <f>-C6*C19</f>
        <v>-498287746.34149617</v>
      </c>
      <c r="D11" s="18">
        <f>-D6*D19</f>
        <v>-570618405.7319468</v>
      </c>
      <c r="E11" s="18">
        <f>-E6*E19</f>
        <v>-646375459.6298068</v>
      </c>
      <c r="F11" s="18">
        <f>-F6*F19</f>
        <v>-724361508.3283635</v>
      </c>
      <c r="G11" s="18">
        <f>-G6*G19</f>
        <v>-803161778.6387597</v>
      </c>
      <c r="H11" s="18">
        <f>-H6*H19</f>
        <v>-881177378.2653779</v>
      </c>
      <c r="I11" s="18">
        <f>-I6*I19</f>
        <v>-956671878.5710737</v>
      </c>
      <c r="J11" s="18">
        <f>-J6*J19</f>
        <v>-1027829878.1562123</v>
      </c>
      <c r="K11" s="18">
        <f>-K6*K19</f>
        <v>-1092825200.6647558</v>
      </c>
    </row>
    <row r="12" spans="1:11" x14ac:dyDescent="0.25">
      <c r="A12" t="s">
        <v>55</v>
      </c>
      <c r="B12" s="18">
        <f>-(B6-Assumptions!B29)*Assumptions!B11</f>
        <v>-265033351.09961522</v>
      </c>
      <c r="C12" s="18">
        <f>-(C6-B6)*Assumptions!B11</f>
        <v>-273498084.8123425</v>
      </c>
      <c r="D12" s="18">
        <f>-(D6-C6)*Assumptions!B11</f>
        <v>-272555375.259261</v>
      </c>
      <c r="E12" s="18">
        <f>-(E6-D6)*Assumptions!B11</f>
        <v>-266447636.79223126</v>
      </c>
      <c r="F12" s="18">
        <f>-(F6-E6)*Assumptions!B11</f>
        <v>-254831796.80482292</v>
      </c>
      <c r="G12" s="18">
        <f>-(G6-F6)*Assumptions!B11</f>
        <v>-237535645.2477155</v>
      </c>
      <c r="H12" s="18">
        <f>-(H6-G6)*Assumptions!B11</f>
        <v>-214582833.36485982</v>
      </c>
      <c r="I12" s="18">
        <f>-(I6-H6)*Assumptions!B11</f>
        <v>-186209425.07897526</v>
      </c>
      <c r="J12" s="18">
        <f>-(J6-I6)*Assumptions!B11</f>
        <v>-152870083.26915628</v>
      </c>
      <c r="K12" s="18">
        <f>-(K6-J6)*Assumptions!B11</f>
        <v>-115232553.94172053</v>
      </c>
    </row>
    <row r="13" spans="1:11" x14ac:dyDescent="0.25">
      <c r="A13" s="19" t="s">
        <v>56</v>
      </c>
      <c r="B13" s="20">
        <f>B9+B10+B11+B12</f>
        <v>2797314400.823308</v>
      </c>
      <c r="C13" s="20">
        <f>C9+C10+C11+C12</f>
        <v>3068170097.181145</v>
      </c>
      <c r="D13" s="20">
        <f>D9+D10+D11+D12</f>
        <v>3342849413.1198363</v>
      </c>
      <c r="E13" s="20">
        <f>E9+E10+E11+E12</f>
        <v>3611512284.8893847</v>
      </c>
      <c r="F13" s="20">
        <f>F9+F10+F11+F12</f>
        <v>3868705473.411397</v>
      </c>
      <c r="G13" s="20">
        <f>G9+G10+G11+G12</f>
        <v>4108803593.091438</v>
      </c>
      <c r="H13" s="20">
        <f>H9+H10+H11+H12</f>
        <v>4326199546.4545765</v>
      </c>
      <c r="I13" s="20">
        <f>I9+I10+I11+I12</f>
        <v>4515511093.260968</v>
      </c>
      <c r="J13" s="20">
        <f>J9+J10+J11+J12</f>
        <v>4671793658.716313</v>
      </c>
      <c r="K13" s="20">
        <f>K9+K10+K11+K12</f>
        <v>4790748206.038748</v>
      </c>
    </row>
    <row r="14" spans="1:11" x14ac:dyDescent="0.25">
      <c r="A14" t="s">
        <v>57</v>
      </c>
      <c r="B14" s="21">
        <f>1/(1+Assumptions!$B$26)^(1-0.5*Assumptions!$B$32)</f>
        <v>0.9665268775522493</v>
      </c>
      <c r="C14" s="21">
        <f>1/(1+Assumptions!$B$26)^(2-0.5*Assumptions!$B$32)</f>
        <v>0.9029044774783712</v>
      </c>
      <c r="D14" s="21">
        <f>1/(1+Assumptions!$B$26)^(3-0.5*Assumptions!$B$32)</f>
        <v>0.8434700724671982</v>
      </c>
      <c r="E14" s="21">
        <f>1/(1+Assumptions!$B$26)^(4-0.5*Assumptions!$B$32)</f>
        <v>0.7879479844144011</v>
      </c>
      <c r="F14" s="21">
        <f>1/(1+Assumptions!$B$26)^(5-0.5*Assumptions!$B$32)</f>
        <v>0.7360806819460237</v>
      </c>
      <c r="G14" s="21">
        <f>1/(1+Assumptions!$B$26)^(6-0.5*Assumptions!$B$32)</f>
        <v>0.6876275858955299</v>
      </c>
      <c r="H14" s="21">
        <f>1/(1+Assumptions!$B$26)^(7-0.5*Assumptions!$B$32)</f>
        <v>0.6423639534112741</v>
      </c>
      <c r="I14" s="21">
        <f>1/(1+Assumptions!$B$26)^(8-0.5*Assumptions!$B$32)</f>
        <v>0.6000798355184835</v>
      </c>
      <c r="J14" s="21">
        <f>1/(1+Assumptions!$B$26)^(9-0.5*Assumptions!$B$32)</f>
        <v>0.5605791033005529</v>
      </c>
      <c r="K14" s="21">
        <f>1/(1+Assumptions!$B$26)^(10-0.5*Assumptions!$B$32)</f>
        <v>0.5236785381827291</v>
      </c>
    </row>
    <row r="15" spans="1:11" x14ac:dyDescent="0.25">
      <c r="A15" s="19" t="s">
        <v>58</v>
      </c>
      <c r="B15" s="20">
        <f>B13*B14</f>
        <v>2703679553.359693</v>
      </c>
      <c r="C15" s="20">
        <f>C13*C14</f>
        <v>2770264518.410105</v>
      </c>
      <c r="D15" s="20">
        <f>D13*D14</f>
        <v>2819593436.731119</v>
      </c>
      <c r="E15" s="20">
        <f>E13*E14</f>
        <v>2845683825.5664387</v>
      </c>
      <c r="F15" s="20">
        <f>F13*F14</f>
        <v>2847679363.116976</v>
      </c>
      <c r="G15" s="20">
        <f>G13*G14</f>
        <v>2825326695.6363444</v>
      </c>
      <c r="H15" s="20">
        <f>H13*H14</f>
        <v>2778994643.9066224</v>
      </c>
      <c r="I15" s="20">
        <f>I13*I14</f>
        <v>2709667154.1259294</v>
      </c>
      <c r="J15" s="20">
        <f>J13*J14</f>
        <v>2618909900.0084004</v>
      </c>
      <c r="K15" s="20">
        <f>K13*K14</f>
        <v>2508812017.3399034</v>
      </c>
    </row>
    <row r="17" spans="1:2" x14ac:dyDescent="0.25">
      <c r="A17" s="22" t="s">
        <v>59</v>
      </c>
      <c r="B17" s="23">
        <f>SUM(B15:K15)</f>
        <v>27428611108.201534</v>
      </c>
    </row>
    <row r="19" spans="1:11" x14ac:dyDescent="0.25">
      <c r="A19" t="s">
        <v>7</v>
      </c>
      <c r="B19" s="9">
        <f>Assumptions!$B$10+($B$20-Assumptions!$B$10)*0/9</f>
        <v>0.0324032265215458</v>
      </c>
      <c r="C19" s="9">
        <f>Assumptions!$B$10+($B$20-Assumptions!$B$10)*1/9</f>
        <v>0.03412610982511035</v>
      </c>
      <c r="D19" s="9">
        <f>Assumptions!$B$10+($B$20-Assumptions!$B$10)*2/9</f>
        <v>0.0358489931286749</v>
      </c>
      <c r="E19" s="9">
        <f>Assumptions!$B$10+($B$20-Assumptions!$B$10)*3/9</f>
        <v>0.03757187643223945</v>
      </c>
      <c r="F19" s="9">
        <f>Assumptions!$B$10+($B$20-Assumptions!$B$10)*4/9</f>
        <v>0.039294759735804</v>
      </c>
      <c r="G19" s="9">
        <f>Assumptions!$B$10+($B$20-Assumptions!$B$10)*5/9</f>
        <v>0.04101764303936855</v>
      </c>
      <c r="H19" s="9">
        <f>Assumptions!$B$10+($B$20-Assumptions!$B$10)*6/9</f>
        <v>0.0427405263429331</v>
      </c>
      <c r="I19" s="9">
        <f>Assumptions!$B$10+($B$20-Assumptions!$B$10)*7/9</f>
        <v>0.04446340964649765</v>
      </c>
      <c r="J19" s="9">
        <f>Assumptions!$B$10+($B$20-Assumptions!$B$10)*8/9</f>
        <v>0.0461862929500622</v>
      </c>
      <c r="K19" s="9">
        <f>Assumptions!$B$10+($B$20-Assumptions!$B$10)*9/9</f>
        <v>0.04790917625362675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0.04790917625362675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4790748206.038748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5614665191.947724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0.127174933115116</v>
      </c>
    </row>
    <row r="7" spans="1:2" x14ac:dyDescent="0.25">
      <c r="A7" t="s">
        <v>66</v>
      </c>
      <c r="B7" s="18">
        <f>-MAX(B5,0)*B6</f>
        <v>-714044670.2497218</v>
      </c>
    </row>
    <row r="8" spans="1:2" x14ac:dyDescent="0.25">
      <c r="A8" t="s">
        <v>67</v>
      </c>
      <c r="B8" s="18">
        <f>IF(OR(Assumptions!$B$33=0,Assumptions!B12&lt;=0),B5,MAX(B5+B7,0))</f>
        <v>4900620521.698003</v>
      </c>
    </row>
    <row r="9" spans="1:2" x14ac:dyDescent="0.25">
      <c r="A9" t="s">
        <v>68</v>
      </c>
      <c r="B9" s="18">
        <f>B8*(1+Assumptions!B12)/(Assumptions!B26-Assumptions!B12)</f>
        <v>110485637626.74126</v>
      </c>
    </row>
    <row r="10" spans="1:2" x14ac:dyDescent="0.25">
      <c r="A10" t="s">
        <v>69</v>
      </c>
      <c r="B10" s="18">
        <f>B9/(1+Assumptions!B26)^(10-0.5*Assumptions!B32)</f>
        <v>57858957202.55859</v>
      </c>
    </row>
    <row r="11" spans="1:2" x14ac:dyDescent="0.25">
      <c r="A11" t="s">
        <v>70</v>
      </c>
      <c r="B11" s="18">
        <f>Forecast!B17+B10</f>
        <v>85287568310.76013</v>
      </c>
    </row>
    <row r="12" spans="1:2" x14ac:dyDescent="0.25">
      <c r="A12" t="s">
        <v>71</v>
      </c>
      <c r="B12" s="18">
        <f>-Assumptions!B30</f>
        <v>4577600000</v>
      </c>
    </row>
    <row r="13" spans="1:2" x14ac:dyDescent="0.25">
      <c r="A13" t="s">
        <v>72</v>
      </c>
      <c r="B13" s="18">
        <f>B11+B12</f>
        <v>89865168310.76013</v>
      </c>
    </row>
    <row r="14" spans="1:2" x14ac:dyDescent="0.25">
      <c r="A14" s="19" t="s">
        <v>73</v>
      </c>
      <c r="B14" s="24">
        <f>B13/Assumptions!B31</f>
        <v>348.3146058556594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7347772046.846866</v>
      </c>
    </row>
    <row r="18" spans="1:2" x14ac:dyDescent="0.25">
      <c r="A18" t="s">
        <v>68</v>
      </c>
      <c r="B18" s="18">
        <f>B17*Assumptions!B13</f>
        <v>146955440936.93732</v>
      </c>
    </row>
    <row r="19" spans="1:2" x14ac:dyDescent="0.25">
      <c r="A19" t="s">
        <v>69</v>
      </c>
      <c r="B19" s="18">
        <f>B18/(1+Assumptions!B26)^(10-0.5*Assumptions!B32)</f>
        <v>76957410487.85373</v>
      </c>
    </row>
    <row r="20" spans="1:2" x14ac:dyDescent="0.25">
      <c r="A20" t="s">
        <v>70</v>
      </c>
      <c r="B20" s="18">
        <f>Forecast!B17+B19</f>
        <v>104386021596.05527</v>
      </c>
    </row>
    <row r="21" spans="1:2" x14ac:dyDescent="0.25">
      <c r="A21" t="s">
        <v>71</v>
      </c>
      <c r="B21" s="18">
        <f>-Assumptions!B30</f>
        <v>4577600000</v>
      </c>
    </row>
    <row r="22" spans="1:2" x14ac:dyDescent="0.25">
      <c r="A22" t="s">
        <v>72</v>
      </c>
      <c r="B22" s="18">
        <f>B20+B21</f>
        <v>108963621596.05527</v>
      </c>
    </row>
    <row r="23" spans="1:2" x14ac:dyDescent="0.25">
      <c r="A23" s="19" t="s">
        <v>73</v>
      </c>
      <c r="B23" s="25">
        <f>B22/Assumptions!B31</f>
        <v>422.3396185893615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558.88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348.3146058556594</v>
      </c>
    </row>
    <row r="29" spans="1:2" x14ac:dyDescent="0.25">
      <c r="A29" s="19" t="s">
        <v>81</v>
      </c>
      <c r="B29" s="11">
        <f>B28/B26-1</f>
        <v>-0.37676315871804433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0.050464</v>
      </c>
      <c r="B5" s="31">
        <v>498.547067628413</v>
      </c>
      <c r="C5" s="31">
        <v>546.3806763181739</v>
      </c>
      <c r="D5" s="31">
        <v>613.5602799996129</v>
      </c>
      <c r="E5" s="31">
        <v>714.2663871205003</v>
      </c>
      <c r="F5" s="31">
        <v>881.0195325742488</v>
      </c>
    </row>
    <row r="6" spans="1:6" x14ac:dyDescent="0.25">
      <c r="A6" s="30">
        <v>0.060464</v>
      </c>
      <c r="B6" s="31">
        <v>389.396717891702</v>
      </c>
      <c r="C6" s="31">
        <v>412.9140227257003</v>
      </c>
      <c r="D6" s="31">
        <v>443.4427164937704</v>
      </c>
      <c r="E6" s="31">
        <v>484.43509810646447</v>
      </c>
      <c r="F6" s="31">
        <v>542.0549799133493</v>
      </c>
    </row>
    <row r="7" spans="1:6" x14ac:dyDescent="0.25">
      <c r="A7" s="30">
        <v>0.070464</v>
      </c>
      <c r="B7" s="31">
        <v>319.8227376138442</v>
      </c>
      <c r="C7" s="31">
        <v>332.5316134897624</v>
      </c>
      <c r="D7" s="32">
        <v>348.3157468462329</v>
      </c>
      <c r="E7" s="31">
        <v>368.31513526649735</v>
      </c>
      <c r="F7" s="31">
        <v>394.3126804524761</v>
      </c>
    </row>
    <row r="8" spans="1:6" x14ac:dyDescent="0.25">
      <c r="A8" s="30">
        <v>0.080464</v>
      </c>
      <c r="B8" s="31">
        <v>271.6743685786071</v>
      </c>
      <c r="C8" s="31">
        <v>278.88287639539345</v>
      </c>
      <c r="D8" s="31">
        <v>287.60783442422314</v>
      </c>
      <c r="E8" s="31">
        <v>298.29999474936704</v>
      </c>
      <c r="F8" s="31">
        <v>311.60839912792363</v>
      </c>
    </row>
    <row r="9" spans="1:6" x14ac:dyDescent="0.25">
      <c r="A9" s="30">
        <v>0.090464</v>
      </c>
      <c r="B9" s="31">
        <v>236.42283864668653</v>
      </c>
      <c r="C9" s="31">
        <v>240.57649113952698</v>
      </c>
      <c r="D9" s="31">
        <v>245.53832532265</v>
      </c>
      <c r="E9" s="31">
        <v>251.5088361245126</v>
      </c>
      <c r="F9" s="31">
        <v>258.7608157938005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12001300000</v>
      </c>
      <c r="C5" s="18">
        <v>11020100000</v>
      </c>
      <c r="D5" s="18">
        <v>9869200000</v>
      </c>
      <c r="E5" s="18">
        <v>8930700000</v>
      </c>
      <c r="F5" s="6" t="s">
        <v>91</v>
      </c>
    </row>
    <row r="6" spans="1:6" x14ac:dyDescent="0.25">
      <c r="A6" t="s">
        <v>51</v>
      </c>
      <c r="B6" s="18">
        <v>4554400000</v>
      </c>
      <c r="C6" s="18">
        <v>-233400000</v>
      </c>
      <c r="D6" s="18">
        <v>3780400000</v>
      </c>
      <c r="E6" s="18">
        <v>4249900000</v>
      </c>
      <c r="F6" s="6" t="s">
        <v>92</v>
      </c>
    </row>
    <row r="7" spans="1:6" x14ac:dyDescent="0.25">
      <c r="A7" t="s">
        <v>93</v>
      </c>
      <c r="B7" s="18">
        <v>209800000</v>
      </c>
      <c r="C7" s="18">
        <v>207200000</v>
      </c>
      <c r="D7" s="18">
        <v>181300000</v>
      </c>
      <c r="E7" s="18">
        <v>148300000</v>
      </c>
      <c r="F7" s="6" t="s">
        <v>94</v>
      </c>
    </row>
    <row r="8" spans="1:6" x14ac:dyDescent="0.25">
      <c r="A8" t="s">
        <v>95</v>
      </c>
      <c r="B8" s="18">
        <v>437600000</v>
      </c>
      <c r="C8" s="18">
        <v>485400000</v>
      </c>
      <c r="D8" s="18">
        <v>258400000</v>
      </c>
      <c r="E8" s="18">
        <v>204700000</v>
      </c>
      <c r="F8" s="6" t="s">
        <v>96</v>
      </c>
    </row>
    <row r="9" spans="1:6" x14ac:dyDescent="0.25">
      <c r="A9" t="s">
        <v>97</v>
      </c>
      <c r="B9" s="18">
        <v>1199100000</v>
      </c>
      <c r="C9" s="18">
        <v>514800000</v>
      </c>
      <c r="D9" s="18">
        <v>265700000</v>
      </c>
      <c r="E9" s="18">
        <v>-340800000</v>
      </c>
      <c r="F9" s="6" t="s">
        <v>98</v>
      </c>
    </row>
    <row r="10" spans="1:6" x14ac:dyDescent="0.25">
      <c r="A10" t="s">
        <v>99</v>
      </c>
      <c r="B10" s="18">
        <v>2030500000</v>
      </c>
      <c r="C10" s="18">
        <v>1744300000</v>
      </c>
      <c r="D10" s="18">
        <v>808400000</v>
      </c>
      <c r="E10" s="18">
        <v>899700000</v>
      </c>
      <c r="F10" s="6" t="s">
        <v>100</v>
      </c>
    </row>
    <row r="11" spans="1:6" x14ac:dyDescent="0.25">
      <c r="A11" t="s">
        <v>101</v>
      </c>
      <c r="B11" s="18">
        <v>6608100000</v>
      </c>
      <c r="C11" s="18">
        <v>6115900000</v>
      </c>
      <c r="D11" s="18">
        <v>11218300000</v>
      </c>
      <c r="E11" s="18">
        <v>10778500000</v>
      </c>
      <c r="F11" s="6" t="s">
        <v>102</v>
      </c>
    </row>
    <row r="12" spans="1:6" x14ac:dyDescent="0.25">
      <c r="A12" t="s">
        <v>34</v>
      </c>
      <c r="B12" s="34">
        <v>258000000</v>
      </c>
      <c r="C12" s="34">
        <v>257900000</v>
      </c>
      <c r="D12" s="34">
        <v>260500000</v>
      </c>
      <c r="E12" s="34">
        <v>259100000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