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<sst xmlns="http://schemas.openxmlformats.org/spreadsheetml/2006/main" count="113" uniqueCount="101">
  <si>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Vertex Pharmaceuticals Incorporated (VRTX)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</si>
  <si>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</si>
  <si>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</si>
  <si>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</si>
  <si>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</si>
  <si>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</si>
  <si>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</si>
  <si>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</si>
  <si>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</si>
  <si>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</si>
  <si>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</si>
  <si>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</si>
  <si>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</si>
  <si>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</si>
  <si>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</si>
  <si>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</si>
  <si>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</si>
  <si>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</si>
  <si>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</si>
  <si>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</si>
  <si>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</si>
  <si>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</si>
  <si>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</si>
  <si>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</si>
  <si>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</si>
  <si>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</si>
  <si>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</si>
  <si>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</si>
  <si>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</si>
  <si>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</si>
  <si>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</si>
  <si>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</si>
  <si>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</si>
  <si>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</si>
  <si>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</si>
  <si>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</si>
  <si>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</si>
  <si>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</si>
  <si>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</si>
  <si>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</si>
  <si>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</si>
  <si>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</si>
  <si>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</si>
  <si>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</si>
  <si>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</si>
  <si>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</si>
  <si>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</si>
  <si>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</si>
  <si>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</si>
  <si>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</si>
  <si>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</si>
  <si>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</si>
  <si>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</si>
  <si>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</si>
  <si>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</si>
  <si>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</si>
  <si>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</si>
  <si>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</si>
  <si>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</si>
  <si>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</si>
  <si>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</si>
  <si>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</si>
  <si>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</si>
  <si>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</si>
  <si>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</si>
  <si>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</si>
  <si>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</si>
  <si>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</si>
  <si>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</si>
  <si>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</si>
  <si>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</si>
  <si>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</si>
  <si>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</si>
  <si>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</si>
  <si>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</si>
  <si>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</si>
  <si>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</si>
  <si>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</si>
  <si>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</si>
  <si>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</si>
  <si>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</si>
  <si>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</si>
  <si>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</si>
  <si>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</si>
  <si>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</si>
  <si>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</si>
  <si>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</si>
  <si>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</si>
  <si>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</si>
  <si>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</si>
  <si>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</si>
  <si>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</si>
  <si>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</si>
  <si>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</si>
  <si>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</si>
  <si>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</si>
  <si>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</si>
  <si>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</si>
  <si>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3.2% of revenue against depreciation of 1.8%. A perpetuity has to be a steady state, so the terminal year uses maintenance capex at depreciation and then charges the reinvestment terminal growth requires (g/ROIC of NOPAT). The bridge is shown under Terminal Value.</t>
  </si>
  <si>
    <t>Current EV/EBITDA of 26.1x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</si>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</sst>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0.10352183400647985</v>
      </c>
    </row>
    <row r="7" spans="1:2" x14ac:dyDescent="0.25">
      <c r="A7" t="s">
        <v>5</v>
      </c>
      <c r="B7" s="6">
        <v>0.3043095974396955</v>
      </c>
    </row>
    <row r="8" spans="1:2" x14ac:dyDescent="0.25">
      <c r="A8" t="s">
        <v>6</v>
      </c>
      <c r="B8" s="6">
        <v>0.1943360558397595</v>
      </c>
    </row>
    <row r="9" spans="1:2" x14ac:dyDescent="0.25">
      <c r="A9" t="s">
        <v>7</v>
      </c>
      <c r="B9" s="6">
        <v>0.01781484281820133</v>
      </c>
    </row>
    <row r="10" spans="1:2" x14ac:dyDescent="0.25">
      <c r="A10" t="s">
        <v>8</v>
      </c>
      <c r="B10" s="6">
        <v>0.0324032265215458</v>
      </c>
    </row>
    <row r="11" spans="1:2" x14ac:dyDescent="0.25">
      <c r="A11" t="s">
        <v>9</v>
      </c>
      <c r="B11" s="6">
        <v>0.4473021113910852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0.19657961980110142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0.5444</v>
      </c>
      <c r="C19" s="8" t="s">
        <v>19</v>
      </c>
    </row>
    <row r="20" spans="1:2" x14ac:dyDescent="0.25">
      <c r="A20" t="s">
        <v>20</v>
      </c>
      <c r="B20" s="10">
        <f>B17+B19*B18</f>
        <v>0.079922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128844324864</v>
      </c>
    </row>
    <row r="23" spans="1:2" x14ac:dyDescent="0.25">
      <c r="A23" t="s">
        <v>24</v>
      </c>
      <c r="B23" s="11">
        <v>2030500000</v>
      </c>
    </row>
    <row r="24" spans="1:2" x14ac:dyDescent="0.25">
      <c r="A24" t="s">
        <v>25</v>
      </c>
      <c r="B24" s="10">
        <f>B22/(B22+B23)</f>
        <v>0.9844851750356876</v>
      </c>
    </row>
    <row r="25" spans="1:2" x14ac:dyDescent="0.25">
      <c r="A25" t="s">
        <v>26</v>
      </c>
      <c r="B25" s="10">
        <f>1-B24</f>
        <v>0.015514824964312446</v>
      </c>
    </row>
    <row r="26" spans="1:2" x14ac:dyDescent="0.25">
      <c r="A26" t="s">
        <v>27</v>
      </c>
      <c r="B26" s="12">
        <f>B24*B20+B25*B21*(1-B8)</f>
        <v>0.07930676091818593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12001300000</v>
      </c>
      <c r="C29" s="8" t="s">
        <v>30</v>
      </c>
    </row>
    <row r="30" spans="1:2" x14ac:dyDescent="0.25">
      <c r="A30" t="s">
        <v>31</v>
      </c>
      <c r="B30" s="11">
        <v>-4577600000</v>
      </c>
    </row>
    <row r="31" spans="1:2" x14ac:dyDescent="0.25">
      <c r="A31" t="s">
        <v>32</v>
      </c>
      <c r="B31" s="13">
        <v>258000000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0.10352183400647985</v>
      </c>
      <c r="C5" s="10">
        <f>Assumptions!B6</f>
        <v>0.10352183400647985</v>
      </c>
      <c r="D5" s="10">
        <f>Assumptions!B6</f>
        <v>0.10352183400647985</v>
      </c>
      <c r="E5" s="10">
        <f>Assumptions!B6</f>
        <v>0.10352183400647985</v>
      </c>
      <c r="F5" s="10">
        <f>Assumptions!B6</f>
        <v>0.10352183400647985</v>
      </c>
    </row>
    <row r="6" spans="1:6" x14ac:dyDescent="0.25">
      <c r="A6" t="s">
        <v>43</v>
      </c>
      <c r="B6" s="18">
        <f>Assumptions!B29*(1+B5)</f>
        <v>13243696586.461967</v>
      </c>
      <c r="C6" s="18">
        <f>B6*(1+C5)</f>
        <v>14614708346.117867</v>
      </c>
      <c r="D6" s="18">
        <f>C6*(1+D5)</f>
        <v>16127649757.577795</v>
      </c>
      <c r="E6" s="18">
        <f>D6*(1+E5)</f>
        <v>17797213638.696407</v>
      </c>
      <c r="F6" s="18">
        <f>E6*(1+F5)</f>
        <v>19639613834.779396</v>
      </c>
    </row>
    <row r="7" spans="1:6" x14ac:dyDescent="0.25">
      <c r="A7" t="s">
        <v>5</v>
      </c>
      <c r="B7" s="10">
        <f>Assumptions!B7</f>
        <v>0.3043095974396955</v>
      </c>
      <c r="C7" s="10">
        <f>Assumptions!B7</f>
        <v>0.3043095974396955</v>
      </c>
      <c r="D7" s="10">
        <f>Assumptions!B7</f>
        <v>0.3043095974396955</v>
      </c>
      <c r="E7" s="10">
        <f>Assumptions!B7</f>
        <v>0.3043095974396955</v>
      </c>
      <c r="F7" s="10">
        <f>Assumptions!B7</f>
        <v>0.3043095974396955</v>
      </c>
    </row>
    <row r="8" spans="1:6" x14ac:dyDescent="0.25">
      <c r="A8" t="s">
        <v>44</v>
      </c>
      <c r="B8" s="18">
        <f>B6*B7</f>
        <v>4030183976.8397107</v>
      </c>
      <c r="C8" s="18">
        <f>C6*C7</f>
        <v>4447396013.505686</v>
      </c>
      <c r="D8" s="18">
        <f>D6*D7</f>
        <v>4907798605.376902</v>
      </c>
      <c r="E8" s="18">
        <f>E6*E7</f>
        <v>5415862917.939961</v>
      </c>
      <c r="F8" s="18">
        <f>F6*F7</f>
        <v>5976522979.932793</v>
      </c>
    </row>
    <row r="9" spans="1:6" x14ac:dyDescent="0.25">
      <c r="A9" t="s">
        <v>45</v>
      </c>
      <c r="B9" s="18">
        <f>B8*(1-Assumptions!B8)</f>
        <v>3246973918.4720845</v>
      </c>
      <c r="C9" s="18">
        <f>C8*(1-Assumptions!B8)</f>
        <v>3583106613.483521</v>
      </c>
      <c r="D9" s="18">
        <f>D8*(1-Assumptions!B8)</f>
        <v>3954036381.552082</v>
      </c>
      <c r="E9" s="18">
        <f>E8*(1-Assumptions!B8)</f>
        <v>4363365479.498698</v>
      </c>
      <c r="F9" s="18">
        <f>F8*(1-Assumptions!B8)</f>
        <v>4815069076.376967</v>
      </c>
    </row>
    <row r="10" spans="1:6" x14ac:dyDescent="0.25">
      <c r="A10" t="s">
        <v>46</v>
      </c>
      <c r="B10" s="18">
        <f>B6*Assumptions!B9</f>
        <v>235934373.01976946</v>
      </c>
      <c r="C10" s="18">
        <f>C6*Assumptions!B9</f>
        <v>260358732.0199449</v>
      </c>
      <c r="D10" s="18">
        <f>D6*Assumptions!B9</f>
        <v>287311545.45825124</v>
      </c>
      <c r="E10" s="18">
        <f>E6*Assumptions!B9</f>
        <v>317054563.5753255</v>
      </c>
      <c r="F10" s="18">
        <f>F6*Assumptions!B9</f>
        <v>349876633.47676724</v>
      </c>
    </row>
    <row r="11" spans="1:6" x14ac:dyDescent="0.25">
      <c r="A11" t="s">
        <v>47</v>
      </c>
      <c r="B11" s="18">
        <f>-B6*Assumptions!B10</f>
        <v>-429138500.47375</v>
      </c>
      <c r="C11" s="18">
        <f>-C6*Assumptions!B10</f>
        <v>-473563705.0855832</v>
      </c>
      <c r="D11" s="18">
        <f>-D6*Assumptions!B10</f>
        <v>-522587888.3549465</v>
      </c>
      <c r="E11" s="18">
        <f>-E6*Assumptions!B10</f>
        <v>-576687144.9870241</v>
      </c>
      <c r="F11" s="18">
        <f>-F6*Assumptions!B10</f>
        <v>-636386855.8840415</v>
      </c>
    </row>
    <row r="12" spans="1:6" x14ac:dyDescent="0.25">
      <c r="A12" t="s">
        <v>48</v>
      </c>
      <c r="B12" s="18">
        <f>-(B6-Assumptions!B29)*Assumptions!B11</f>
        <v>-555726616.309515</v>
      </c>
      <c r="C12" s="18">
        <f>-(C6-B6)*Assumptions!B11</f>
        <v>-613256454.8360907</v>
      </c>
      <c r="D12" s="18">
        <f>-(D6-C6)*Assumptions!B11</f>
        <v>-676741887.7570347</v>
      </c>
      <c r="E12" s="18">
        <f>-(E6-D6)*Assumptions!B11</f>
        <v>-746799449.1266501</v>
      </c>
      <c r="F12" s="18">
        <f>-(F6-E6)*Assumptions!B11</f>
        <v>-824109497.7352703</v>
      </c>
    </row>
    <row r="13" spans="1:6" x14ac:dyDescent="0.25">
      <c r="A13" s="19" t="s">
        <v>49</v>
      </c>
      <c r="B13" s="20">
        <f>B9+B10+B11+B12</f>
        <v>2498043174.708589</v>
      </c>
      <c r="C13" s="20">
        <f>C9+C10+C11+C12</f>
        <v>2756645185.581792</v>
      </c>
      <c r="D13" s="20">
        <f>D9+D10+D11+D12</f>
        <v>3042018150.8983517</v>
      </c>
      <c r="E13" s="20">
        <f>E9+E10+E11+E12</f>
        <v>3356933448.96035</v>
      </c>
      <c r="F13" s="20">
        <f>F9+F10+F11+F12</f>
        <v>3704449356.2344227</v>
      </c>
    </row>
    <row r="14" spans="1:6" x14ac:dyDescent="0.25">
      <c r="A14" t="s">
        <v>50</v>
      </c>
      <c r="B14" s="21">
        <f>1/(1+Assumptions!$B$26)^(1-0.5*Assumptions!$B$32)</f>
        <v>0.9625594259305701</v>
      </c>
      <c r="C14" s="21">
        <f>1/(1+Assumptions!$B$26)^(2-0.5*Assumptions!$B$32)</f>
        <v>0.891831183482723</v>
      </c>
      <c r="D14" s="21">
        <f>1/(1+Assumptions!$B$26)^(3-0.5*Assumptions!$B$32)</f>
        <v>0.8263000064263714</v>
      </c>
      <c r="E14" s="21">
        <f>1/(1+Assumptions!$B$26)^(4-0.5*Assumptions!$B$32)</f>
        <v>0.7655840177665735</v>
      </c>
      <c r="F14" s="21">
        <f>1/(1+Assumptions!$B$26)^(5-0.5*Assumptions!$B$32)</f>
        <v>0.7093294005823491</v>
      </c>
    </row>
    <row r="15" spans="1:6" x14ac:dyDescent="0.25">
      <c r="A15" s="19" t="s">
        <v>51</v>
      </c>
      <c r="B15" s="20">
        <f>B13*B14</f>
        <v>2404515004.1972785</v>
      </c>
      <c r="C15" s="20">
        <f>C13*C14</f>
        <v>2458462138.29936</v>
      </c>
      <c r="D15" s="20">
        <f>D13*D14</f>
        <v>2513619617.6364465</v>
      </c>
      <c r="E15" s="20">
        <f>E13*E14</f>
        <v>2570014597.2300653</v>
      </c>
      <c r="F15" s="20">
        <f>F13*F14</f>
        <v>2627674841.345432</v>
      </c>
    </row>
    <row r="17" spans="1:2" x14ac:dyDescent="0.25">
      <c r="A17" s="22" t="s">
        <v>52</v>
      </c>
      <c r="B17" s="23">
        <f>SUM(B15:F15)</f>
        <v>12574286198.708584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3704449356.2344227</v>
      </c>
    </row>
    <row r="5" spans="1:2" x14ac:dyDescent="0.25">
      <c r="A5" t="s">
        <v>56</v>
      </c>
      <c r="B5" s="18">
        <f>IF(Assumptions!$B$33=0,B4,B4-Forecast!F11-Forecast!F10-Forecast!F12)</f>
        <v>4834202187.179321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0.127174933115116</v>
      </c>
    </row>
    <row r="7" spans="1:2" x14ac:dyDescent="0.25">
      <c r="A7" t="s">
        <v>58</v>
      </c>
      <c r="B7" s="18">
        <f>-MAX(Forecast!F9,0)*B6</f>
        <v>-614789339.8194776</v>
      </c>
    </row>
    <row r="8" spans="1:2" x14ac:dyDescent="0.25">
      <c r="A8" t="s">
        <v>59</v>
      </c>
      <c r="B8" s="18">
        <f>IF(OR(Assumptions!$B$33=0,Assumptions!B12&lt;=0),B5,MAX(B5+B7,0))</f>
        <v>4219412847.3598437</v>
      </c>
    </row>
    <row r="9" spans="1:2" x14ac:dyDescent="0.25">
      <c r="A9" t="s">
        <v>60</v>
      </c>
      <c r="B9" s="18">
        <f>B8*(1+Assumptions!B12)/(Assumptions!B26-Assumptions!B12)</f>
        <v>79638300930.14336</v>
      </c>
    </row>
    <row r="10" spans="1:2" x14ac:dyDescent="0.25">
      <c r="A10" t="s">
        <v>61</v>
      </c>
      <c r="B10" s="18">
        <f>B9/(1+Assumptions!B26)^(5-0.5*Assumptions!B32)</f>
        <v>56489788262.175316</v>
      </c>
    </row>
    <row r="11" spans="1:2" x14ac:dyDescent="0.25">
      <c r="A11" t="s">
        <v>62</v>
      </c>
      <c r="B11" s="18">
        <f>Forecast!B17+B10</f>
        <v>69064074460.8839</v>
      </c>
    </row>
    <row r="12" spans="1:2" x14ac:dyDescent="0.25">
      <c r="A12" t="s">
        <v>63</v>
      </c>
      <c r="B12" s="18">
        <f>-Assumptions!B30</f>
        <v>4577600000</v>
      </c>
    </row>
    <row r="13" spans="1:2" x14ac:dyDescent="0.25">
      <c r="A13" t="s">
        <v>64</v>
      </c>
      <c r="B13" s="18">
        <f>B11+B12</f>
        <v>73641674460.8839</v>
      </c>
    </row>
    <row r="14" spans="1:2" x14ac:dyDescent="0.25">
      <c r="A14" s="19" t="s">
        <v>65</v>
      </c>
      <c r="B14" s="24">
        <f>B13/Assumptions!B31</f>
        <v>285.432846747612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6326399613.40956</v>
      </c>
    </row>
    <row r="18" spans="1:2" x14ac:dyDescent="0.25">
      <c r="A18" t="s">
        <v>60</v>
      </c>
      <c r="B18" s="18">
        <f>B17*Assumptions!B13</f>
        <v>126527992268.19121</v>
      </c>
    </row>
    <row r="19" spans="1:2" x14ac:dyDescent="0.25">
      <c r="A19" t="s">
        <v>61</v>
      </c>
      <c r="B19" s="18">
        <f>B18/(1+Assumptions!B26)^(5-0.5*Assumptions!B32)</f>
        <v>89750024912.48416</v>
      </c>
    </row>
    <row r="20" spans="1:2" x14ac:dyDescent="0.25">
      <c r="A20" t="s">
        <v>62</v>
      </c>
      <c r="B20" s="18">
        <f>Forecast!B17+B19</f>
        <v>102324311111.19275</v>
      </c>
    </row>
    <row r="21" spans="1:2" x14ac:dyDescent="0.25">
      <c r="A21" t="s">
        <v>63</v>
      </c>
      <c r="B21" s="18">
        <f>-Assumptions!B30</f>
        <v>4577600000</v>
      </c>
    </row>
    <row r="22" spans="1:2" x14ac:dyDescent="0.25">
      <c r="A22" t="s">
        <v>64</v>
      </c>
      <c r="B22" s="18">
        <f>B20+B21</f>
        <v>106901911111.19275</v>
      </c>
    </row>
    <row r="23" spans="1:2" x14ac:dyDescent="0.25">
      <c r="A23" s="19" t="s">
        <v>65</v>
      </c>
      <c r="B23" s="25">
        <f>B22/Assumptions!B31</f>
        <v>414.34849267904167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508.34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285.432846747612</v>
      </c>
    </row>
    <row r="29" spans="1:2" x14ac:dyDescent="0.25">
      <c r="A29" s="19" t="s">
        <v>73</v>
      </c>
      <c r="B29" s="12">
        <f>B28/B26-1</f>
        <v>-0.4385001244292953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0.059307</v>
      </c>
      <c r="B5" s="31">
        <v>374.80850619319756</v>
      </c>
      <c r="C5" s="31">
        <v>405.88073125346966</v>
      </c>
      <c r="D5" s="31">
        <v>445.90287534303934</v>
      </c>
      <c r="E5" s="31">
        <v>499.4557138889191</v>
      </c>
      <c r="F5" s="31">
        <v>574.8891221058481</v>
      </c>
    </row>
    <row r="6" spans="1:6" x14ac:dyDescent="0.25">
      <c r="A6" s="30">
        <v>0.069307</v>
      </c>
      <c r="B6" s="31">
        <v>306.9197110800468</v>
      </c>
      <c r="C6" s="31">
        <v>325.1885431493186</v>
      </c>
      <c r="D6" s="31">
        <v>347.50105196331793</v>
      </c>
      <c r="E6" s="31">
        <v>375.40035073778034</v>
      </c>
      <c r="F6" s="31">
        <v>411.3291435682824</v>
      </c>
    </row>
    <row r="7" spans="1:6" x14ac:dyDescent="0.25">
      <c r="A7" s="30">
        <v>0.079307</v>
      </c>
      <c r="B7" s="31">
        <v>260.2512659704647</v>
      </c>
      <c r="C7" s="31">
        <v>271.80850997313775</v>
      </c>
      <c r="D7" s="32">
        <v>285.43163710453615</v>
      </c>
      <c r="E7" s="31">
        <v>301.74912297524025</v>
      </c>
      <c r="F7" s="31">
        <v>321.67313453606107</v>
      </c>
    </row>
    <row r="8" spans="1:6" x14ac:dyDescent="0.25">
      <c r="A8" s="30">
        <v>0.089307</v>
      </c>
      <c r="B8" s="31">
        <v>226.23076742252707</v>
      </c>
      <c r="C8" s="31">
        <v>233.91363418128572</v>
      </c>
      <c r="D8" s="31">
        <v>242.74078644457634</v>
      </c>
      <c r="E8" s="31">
        <v>253.00163832149212</v>
      </c>
      <c r="F8" s="31">
        <v>265.0921883795173</v>
      </c>
    </row>
    <row r="9" spans="1:6" x14ac:dyDescent="0.25">
      <c r="A9" s="30">
        <v>0.099307</v>
      </c>
      <c r="B9" s="31">
        <v>200.3533320786121</v>
      </c>
      <c r="C9" s="31">
        <v>205.64235502456174</v>
      </c>
      <c r="D9" s="31">
        <v>211.6012716321468</v>
      </c>
      <c r="E9" s="31">
        <v>218.37506588458015</v>
      </c>
      <c r="F9" s="31">
        <v>226.1538129629885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12001300000</v>
      </c>
      <c r="C5" s="18">
        <v>11020100000</v>
      </c>
      <c r="D5" s="18">
        <v>9869200000</v>
      </c>
      <c r="E5" s="18">
        <v>8930700000</v>
      </c>
      <c r="F5" s="8" t="s">
        <v>84</v>
      </c>
    </row>
    <row r="6" spans="1:6" x14ac:dyDescent="0.25">
      <c r="A6" t="s">
        <v>44</v>
      </c>
      <c r="B6" s="18">
        <v>4554400000</v>
      </c>
      <c r="C6" s="18">
        <v>-233400000</v>
      </c>
      <c r="D6" s="18">
        <v>3780400000</v>
      </c>
      <c r="E6" s="18">
        <v>4249900000</v>
      </c>
      <c r="F6" s="8" t="s">
        <v>85</v>
      </c>
    </row>
    <row r="7" spans="1:6" x14ac:dyDescent="0.25">
      <c r="A7" t="s">
        <v>86</v>
      </c>
      <c r="B7" s="18">
        <v>209800000</v>
      </c>
      <c r="C7" s="18">
        <v>207200000</v>
      </c>
      <c r="D7" s="18">
        <v>181300000</v>
      </c>
      <c r="E7" s="18">
        <v>148300000</v>
      </c>
      <c r="F7" s="8" t="s">
        <v>87</v>
      </c>
    </row>
    <row r="8" spans="1:6" x14ac:dyDescent="0.25">
      <c r="A8" t="s">
        <v>88</v>
      </c>
      <c r="B8" s="18">
        <v>437600000</v>
      </c>
      <c r="C8" s="18">
        <v>485400000</v>
      </c>
      <c r="D8" s="18">
        <v>258400000</v>
      </c>
      <c r="E8" s="18">
        <v>204700000</v>
      </c>
      <c r="F8" s="8" t="s">
        <v>89</v>
      </c>
    </row>
    <row r="9" spans="1:6" x14ac:dyDescent="0.25">
      <c r="A9" t="s">
        <v>90</v>
      </c>
      <c r="B9" s="18">
        <v>1199100000</v>
      </c>
      <c r="C9" s="18">
        <v>514800000</v>
      </c>
      <c r="D9" s="18">
        <v>265700000</v>
      </c>
      <c r="E9" s="18">
        <v>-340800000</v>
      </c>
      <c r="F9" s="8" t="s">
        <v>91</v>
      </c>
    </row>
    <row r="10" spans="1:6" x14ac:dyDescent="0.25">
      <c r="A10" t="s">
        <v>92</v>
      </c>
      <c r="B10" s="18">
        <v>2030500000</v>
      </c>
      <c r="C10" s="18">
        <v>1744300000</v>
      </c>
      <c r="D10" s="18">
        <v>808400000</v>
      </c>
      <c r="E10" s="18">
        <v>899700000</v>
      </c>
      <c r="F10" s="8" t="s">
        <v>93</v>
      </c>
    </row>
    <row r="11" spans="1:6" x14ac:dyDescent="0.25">
      <c r="A11" t="s">
        <v>94</v>
      </c>
      <c r="B11" s="18">
        <v>6608100000</v>
      </c>
      <c r="C11" s="18">
        <v>6115900000</v>
      </c>
      <c r="D11" s="18">
        <v>11218300000</v>
      </c>
      <c r="E11" s="18">
        <v>10778500000</v>
      </c>
      <c r="F11" s="8" t="s">
        <v>95</v>
      </c>
    </row>
    <row r="12" spans="1:6" x14ac:dyDescent="0.25">
      <c r="A12" t="s">
        <v>32</v>
      </c>
      <c r="B12" s="34">
        <v>258000000</v>
      </c>
      <c r="C12" s="34">
        <v>257900000</v>
      </c>
      <c r="D12" s="34">
        <v>260500000</v>
      </c>
      <c r="E12" s="34">
        <v>259100000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2026-09-19T00:06:31Z</dcterms:modified>
</cp:coreProperties>
</file>