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<sst xmlns="http://schemas.openxmlformats.org/spreadsheetml/2006/main" count="115" uniqueCount="103">
  <si>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Vulcan Steel Limited (VSL.NZ)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</si>
  <si>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</si>
  <si>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</si>
  <si>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</si>
  <si>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</si>
  <si>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</si>
  <si>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</si>
  <si>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</si>
  <si>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</si>
  <si>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</si>
  <si>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</si>
  <si>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</si>
  <si>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</si>
  <si>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</si>
  <si>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</si>
  <si>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</si>
  <si>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</si>
  <si>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</si>
  <si>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</si>
  <si>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</si>
  <si>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</si>
  <si>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</si>
  <si>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</si>
  <si>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</si>
  <si>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</si>
  <si>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</si>
  <si>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</si>
  <si>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</si>
  <si>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</si>
  <si>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</si>
  <si>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2026-06-30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</si>
  <si>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</si>
  <si>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</si>
  <si>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</si>
  <si>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</si>
  <si>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</si>
  <si>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</si>
  <si>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</si>
  <si>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</si>
  <si>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</si>
  <si>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</si>
  <si>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</si>
  <si>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</si>
  <si>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</si>
  <si>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</si>
  <si>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</si>
  <si>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</si>
  <si>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</si>
  <si>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</si>
  <si>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</si>
  <si>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</si>
  <si>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</si>
  <si>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</si>
  <si>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</si>
  <si>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</si>
  <si>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</si>
  <si>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</si>
  <si>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</si>
  <si>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</si>
  <si>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</si>
  <si>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</si>
  <si>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</si>
  <si>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</si>
  <si>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</si>
  <si>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</si>
  <si>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</si>
  <si>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</si>
  <si>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</si>
  <si>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</si>
  <si>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</si>
  <si>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</si>
  <si>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</si>
  <si>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</si>
  <si>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</si>
  <si>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</si>
  <si>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</si>
  <si>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</si>
  <si>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</si>
  <si>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</si>
  <si>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</si>
  <si>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</si>
  <si>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</si>
  <si>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</si>
  <si>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</si>
  <si>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</si>
  <si>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</si>
  <si>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</si>
  <si>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</si>
  <si>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</si>
  <si>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</si>
  <si>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</si>
  <si>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</si>
  <si>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</si>
  <si>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</si>
  <si>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</si>
  <si>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</si>
  <si>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</si>
  <si>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</si>
  <si>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Some line items were not reported and have been derived. Each one is labelled in the workings below.</t>
  </si>
  <si>
    <t>Adjusted: Reported capital expenditure averages 2.22% of revenue against depreciation and amortisation of 7.20%. A business cannot depreciate more than it invests indefinitely. Capex has been set to 7.20%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</si>
  <si>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Note: Risk-free rate is an assumption: NZD assumption - no free live source available for this market.</t>
  </si>
  <si>
    <t>Current EV/EBITDA of 23.4x sits outside a defensible 3-20x band, so the exit multiple is capped at 20.0x. A multiple that far out usually means EBITDA is the wrong denominator for this business.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</si>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</sst>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-0.023588526788016706</v>
      </c>
    </row>
    <row r="7" spans="1:2" x14ac:dyDescent="0.25">
      <c r="A7" t="s">
        <v>5</v>
      </c>
      <c r="B7" s="6">
        <v>0.04988331862542531</v>
      </c>
    </row>
    <row r="8" spans="1:2" x14ac:dyDescent="0.25">
      <c r="A8" t="s">
        <v>6</v>
      </c>
      <c r="B8" s="6">
        <v>0.28</v>
      </c>
    </row>
    <row r="9" spans="1:2" x14ac:dyDescent="0.25">
      <c r="A9" t="s">
        <v>7</v>
      </c>
      <c r="B9" s="6">
        <v>0.07199716450154667</v>
      </c>
    </row>
    <row r="10" spans="1:2" x14ac:dyDescent="0.25">
      <c r="A10" t="s">
        <v>8</v>
      </c>
      <c r="B10" s="6">
        <v>0.07199716450154667</v>
      </c>
    </row>
    <row r="11" spans="1:2" x14ac:dyDescent="0.25">
      <c r="A11" t="s">
        <v>9</v>
      </c>
      <c r="B11" s="6">
        <v>0.3764041558709855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0.09919755911517925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1.0314899999999998</v>
      </c>
      <c r="C19" s="8" t="s">
        <v>19</v>
      </c>
    </row>
    <row r="20" spans="1:2" x14ac:dyDescent="0.25">
      <c r="A20" t="s">
        <v>20</v>
      </c>
      <c r="B20" s="10">
        <f>B17+B19*B18</f>
        <v>0.11204684999999999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930465152</v>
      </c>
    </row>
    <row r="23" spans="1:2" x14ac:dyDescent="0.25">
      <c r="A23" t="s">
        <v>24</v>
      </c>
      <c r="B23" s="11">
        <v>631365000</v>
      </c>
    </row>
    <row r="24" spans="1:2" x14ac:dyDescent="0.25">
      <c r="A24" t="s">
        <v>25</v>
      </c>
      <c r="B24" s="10">
        <f>B22/(B22+B23)</f>
        <v>0.5957530982536697</v>
      </c>
    </row>
    <row r="25" spans="1:2" x14ac:dyDescent="0.25">
      <c r="A25" t="s">
        <v>26</v>
      </c>
      <c r="B25" s="10">
        <f>1-B24</f>
        <v>0.40424690174633027</v>
      </c>
    </row>
    <row r="26" spans="1:2" x14ac:dyDescent="0.25">
      <c r="A26" t="s">
        <v>27</v>
      </c>
      <c r="B26" s="12">
        <f>B24*B20+B25*B21*(1-B8)</f>
        <v>0.07984985765364529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1158807000</v>
      </c>
      <c r="C29" s="8" t="s">
        <v>30</v>
      </c>
    </row>
    <row r="30" spans="1:2" x14ac:dyDescent="0.25">
      <c r="A30" t="s">
        <v>31</v>
      </c>
      <c r="B30" s="11">
        <v>600664000</v>
      </c>
    </row>
    <row r="31" spans="1:2" x14ac:dyDescent="0.25">
      <c r="A31" t="s">
        <v>32</v>
      </c>
      <c r="B31" s="13">
        <v>146529960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-0.023588526788016706</v>
      </c>
      <c r="C5" s="10">
        <f>Assumptions!B6</f>
        <v>-0.023588526788016706</v>
      </c>
      <c r="D5" s="10">
        <f>Assumptions!B6</f>
        <v>-0.023588526788016706</v>
      </c>
      <c r="E5" s="10">
        <f>Assumptions!B6</f>
        <v>-0.023588526788016706</v>
      </c>
      <c r="F5" s="10">
        <f>Assumptions!B6</f>
        <v>-0.023588526788016706</v>
      </c>
    </row>
    <row r="6" spans="1:6" x14ac:dyDescent="0.25">
      <c r="A6" t="s">
        <v>43</v>
      </c>
      <c r="B6" s="18">
        <f>Assumptions!B29*(1+B5)</f>
        <v>1131472450.0383587</v>
      </c>
      <c r="C6" s="18">
        <f>B6*(1+C5)</f>
        <v>1104782681.840726</v>
      </c>
      <c r="D6" s="18">
        <f>C6*(1+D5)</f>
        <v>1078722485.955189</v>
      </c>
      <c r="E6" s="18">
        <f>D6*(1+E5)</f>
        <v>1053277011.6983991</v>
      </c>
      <c r="F6" s="18">
        <f>E6*(1+F5)</f>
        <v>1028431758.6927491</v>
      </c>
    </row>
    <row r="7" spans="1:6" x14ac:dyDescent="0.25">
      <c r="A7" t="s">
        <v>5</v>
      </c>
      <c r="B7" s="10">
        <f>Assumptions!B7</f>
        <v>0.04988331862542531</v>
      </c>
      <c r="C7" s="10">
        <f>Assumptions!B7</f>
        <v>0.04988331862542531</v>
      </c>
      <c r="D7" s="10">
        <f>Assumptions!B7</f>
        <v>0.04988331862542531</v>
      </c>
      <c r="E7" s="10">
        <f>Assumptions!B7</f>
        <v>0.04988331862542531</v>
      </c>
      <c r="F7" s="10">
        <f>Assumptions!B7</f>
        <v>0.04988331862542531</v>
      </c>
    </row>
    <row r="8" spans="1:6" x14ac:dyDescent="0.25">
      <c r="A8" t="s">
        <v>44</v>
      </c>
      <c r="B8" s="18">
        <f>B6*B7</f>
        <v>56441600.74115407</v>
      </c>
      <c r="C8" s="18">
        <f>C6*C7</f>
        <v>55110226.53011281</v>
      </c>
      <c r="D8" s="18">
        <f>D6*D7</f>
        <v>53810257.475313574</v>
      </c>
      <c r="E8" s="18">
        <f>E6*E7</f>
        <v>52540952.77538706</v>
      </c>
      <c r="F8" s="18">
        <f>F6*F7</f>
        <v>51301589.103376925</v>
      </c>
    </row>
    <row r="9" spans="1:6" x14ac:dyDescent="0.25">
      <c r="A9" t="s">
        <v>45</v>
      </c>
      <c r="B9" s="18">
        <f>B8*(1-Assumptions!B8)</f>
        <v>40637952.53363093</v>
      </c>
      <c r="C9" s="18">
        <f>C8*(1-Assumptions!B8)</f>
        <v>39679363.101681225</v>
      </c>
      <c r="D9" s="18">
        <f>D8*(1-Assumptions!B8)</f>
        <v>38743385.382225774</v>
      </c>
      <c r="E9" s="18">
        <f>E8*(1-Assumptions!B8)</f>
        <v>37829485.998278685</v>
      </c>
      <c r="F9" s="18">
        <f>F8*(1-Assumptions!B8)</f>
        <v>36937144.15443139</v>
      </c>
    </row>
    <row r="10" spans="1:6" x14ac:dyDescent="0.25">
      <c r="A10" t="s">
        <v>46</v>
      </c>
      <c r="B10" s="18">
        <f>B6*Assumptions!B9</f>
        <v>81462808.11437975</v>
      </c>
      <c r="C10" s="18">
        <f>C6*Assumptions!B9</f>
        <v>79541220.48294663</v>
      </c>
      <c r="D10" s="18">
        <f>D6*Assumptions!B9</f>
        <v>77664960.27283311</v>
      </c>
      <c r="E10" s="18">
        <f>E6*Assumptions!B9</f>
        <v>75832958.27694713</v>
      </c>
      <c r="F10" s="18">
        <f>F6*Assumptions!B9</f>
        <v>74044170.5092168</v>
      </c>
    </row>
    <row r="11" spans="1:6" x14ac:dyDescent="0.25">
      <c r="A11" t="s">
        <v>47</v>
      </c>
      <c r="B11" s="18">
        <f>-B6*Assumptions!B10</f>
        <v>-81462808.11437975</v>
      </c>
      <c r="C11" s="18">
        <f>-C6*Assumptions!B10</f>
        <v>-79541220.48294663</v>
      </c>
      <c r="D11" s="18">
        <f>-D6*Assumptions!B10</f>
        <v>-77664960.27283311</v>
      </c>
      <c r="E11" s="18">
        <f>-E6*Assumptions!B10</f>
        <v>-75832958.27694713</v>
      </c>
      <c r="F11" s="18">
        <f>-F6*Assumptions!B10</f>
        <v>-74044170.5092168</v>
      </c>
    </row>
    <row r="12" spans="1:6" x14ac:dyDescent="0.25">
      <c r="A12" t="s">
        <v>48</v>
      </c>
      <c r="B12" s="18">
        <f>-(B6-Assumptions!B29)*Assumptions!B11</f>
        <v>10288838.204424877</v>
      </c>
      <c r="C12" s="18">
        <f>-(C6-B6)*Assumptions!B11</f>
        <v>10046139.668822246</v>
      </c>
      <c r="D12" s="18">
        <f>-(D6-C6)*Assumptions!B11</f>
        <v>9809166.034128051</v>
      </c>
      <c r="E12" s="18">
        <f>-(E6-D6)*Assumptions!B11</f>
        <v>9577782.258363904</v>
      </c>
      <c r="F12" s="18">
        <f>-(F6-E6)*Assumptions!B11</f>
        <v>9351856.484992726</v>
      </c>
    </row>
    <row r="13" spans="1:6" x14ac:dyDescent="0.25">
      <c r="A13" s="19" t="s">
        <v>49</v>
      </c>
      <c r="B13" s="20">
        <f>B9+B10+B11+B12</f>
        <v>50926790.738055795</v>
      </c>
      <c r="C13" s="20">
        <f>C9+C10+C11+C12</f>
        <v>49725502.770503476</v>
      </c>
      <c r="D13" s="20">
        <f>D9+D10+D11+D12</f>
        <v>48552551.41635384</v>
      </c>
      <c r="E13" s="20">
        <f>E9+E10+E11+E12</f>
        <v>47407268.256642595</v>
      </c>
      <c r="F13" s="20">
        <f>F9+F10+F11+F12</f>
        <v>46289000.639424115</v>
      </c>
    </row>
    <row r="14" spans="1:6" x14ac:dyDescent="0.25">
      <c r="A14" t="s">
        <v>50</v>
      </c>
      <c r="B14" s="21">
        <f>1/(1+Assumptions!$B$26)^(1-0.5*Assumptions!$B$32)</f>
        <v>0.9623173419853017</v>
      </c>
      <c r="C14" s="21">
        <f>1/(1+Assumptions!$B$26)^(2-0.5*Assumptions!$B$32)</f>
        <v>0.8911584653780256</v>
      </c>
      <c r="D14" s="21">
        <f>1/(1+Assumptions!$B$26)^(3-0.5*Assumptions!$B$32)</f>
        <v>0.8252614556197486</v>
      </c>
      <c r="E14" s="21">
        <f>1/(1+Assumptions!$B$26)^(4-0.5*Assumptions!$B$32)</f>
        <v>0.7642372222124658</v>
      </c>
      <c r="F14" s="21">
        <f>1/(1+Assumptions!$B$26)^(5-0.5*Assumptions!$B$32)</f>
        <v>0.707725446084737</v>
      </c>
    </row>
    <row r="15" spans="1:6" x14ac:dyDescent="0.25">
      <c r="A15" s="19" t="s">
        <v>51</v>
      </c>
      <c r="B15" s="20">
        <f>B13*B14</f>
        <v>49007733.89888754</v>
      </c>
      <c r="C15" s="20">
        <f>C13*C14</f>
        <v>44313302.73911264</v>
      </c>
      <c r="D15" s="20">
        <f>D13*D14</f>
        <v>40068549.255912855</v>
      </c>
      <c r="E15" s="20">
        <f>E13*E14</f>
        <v>36230399.00513774</v>
      </c>
      <c r="F15" s="20">
        <f>F13*F14</f>
        <v>32759903.626353107</v>
      </c>
    </row>
    <row r="17" spans="1:2" x14ac:dyDescent="0.25">
      <c r="A17" s="22" t="s">
        <v>52</v>
      </c>
      <c r="B17" s="23">
        <f>SUM(B15:F15)</f>
        <v>202379888.5254039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46289000.639424115</v>
      </c>
    </row>
    <row r="5" spans="1:2" x14ac:dyDescent="0.25">
      <c r="A5" t="s">
        <v>56</v>
      </c>
      <c r="B5" s="18">
        <f>IF(Assumptions!$B$33=0,B4,B4-Forecast!F11-Forecast!F10-Forecast!F12)</f>
        <v>36937144.15443139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0.2520223302165355</v>
      </c>
    </row>
    <row r="7" spans="1:2" x14ac:dyDescent="0.25">
      <c r="A7" t="s">
        <v>58</v>
      </c>
      <c r="B7" s="18">
        <f>-MAX(Forecast!F9,0)*B6</f>
        <v>-9308985.14134388</v>
      </c>
    </row>
    <row r="8" spans="1:2" x14ac:dyDescent="0.25">
      <c r="A8" t="s">
        <v>59</v>
      </c>
      <c r="B8" s="18">
        <f>IF(OR(Assumptions!$B$33=0,Assumptions!B12&lt;=0),B5,MAX(B5+B7,0))</f>
        <v>27628159.013087507</v>
      </c>
    </row>
    <row r="9" spans="1:2" x14ac:dyDescent="0.25">
      <c r="A9" t="s">
        <v>60</v>
      </c>
      <c r="B9" s="18">
        <f>B8*(1+Assumptions!B12)/(Assumptions!B26-Assumptions!B12)</f>
        <v>516297839.2257075</v>
      </c>
    </row>
    <row r="10" spans="1:2" x14ac:dyDescent="0.25">
      <c r="A10" t="s">
        <v>61</v>
      </c>
      <c r="B10" s="18">
        <f>B9/(1+Assumptions!B26)^(5-0.5*Assumptions!B32)</f>
        <v>365397118.57859963</v>
      </c>
    </row>
    <row r="11" spans="1:2" x14ac:dyDescent="0.25">
      <c r="A11" t="s">
        <v>62</v>
      </c>
      <c r="B11" s="18">
        <f>Forecast!B17+B10</f>
        <v>567777007.1040035</v>
      </c>
    </row>
    <row r="12" spans="1:2" x14ac:dyDescent="0.25">
      <c r="A12" t="s">
        <v>63</v>
      </c>
      <c r="B12" s="18">
        <f>-Assumptions!B30</f>
        <v>-600664000</v>
      </c>
    </row>
    <row r="13" spans="1:2" x14ac:dyDescent="0.25">
      <c r="A13" t="s">
        <v>64</v>
      </c>
      <c r="B13" s="18">
        <f>B11+B12</f>
        <v>-32886992.89599645</v>
      </c>
    </row>
    <row r="14" spans="1:2" x14ac:dyDescent="0.25">
      <c r="A14" s="19" t="s">
        <v>65</v>
      </c>
      <c r="B14" s="24">
        <f>B13/Assumptions!B31</f>
        <v>-0.22443869428474866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125345759.61259373</v>
      </c>
    </row>
    <row r="18" spans="1:2" x14ac:dyDescent="0.25">
      <c r="A18" t="s">
        <v>60</v>
      </c>
      <c r="B18" s="18">
        <f>B17*Assumptions!B13</f>
        <v>2506915192.2518744</v>
      </c>
    </row>
    <row r="19" spans="1:2" x14ac:dyDescent="0.25">
      <c r="A19" t="s">
        <v>61</v>
      </c>
      <c r="B19" s="18">
        <f>B18/(1+Assumptions!B26)^(5-0.5*Assumptions!B32)</f>
        <v>1774207672.733062</v>
      </c>
    </row>
    <row r="20" spans="1:2" x14ac:dyDescent="0.25">
      <c r="A20" t="s">
        <v>62</v>
      </c>
      <c r="B20" s="18">
        <f>Forecast!B17+B19</f>
        <v>1976587561.258466</v>
      </c>
    </row>
    <row r="21" spans="1:2" x14ac:dyDescent="0.25">
      <c r="A21" t="s">
        <v>63</v>
      </c>
      <c r="B21" s="18">
        <f>-Assumptions!B30</f>
        <v>-600664000</v>
      </c>
    </row>
    <row r="22" spans="1:2" x14ac:dyDescent="0.25">
      <c r="A22" t="s">
        <v>64</v>
      </c>
      <c r="B22" s="18">
        <f>B20+B21</f>
        <v>1375923561.258466</v>
      </c>
    </row>
    <row r="23" spans="1:2" x14ac:dyDescent="0.25">
      <c r="A23" s="19" t="s">
        <v>65</v>
      </c>
      <c r="B23" s="25">
        <f>B22/Assumptions!B31</f>
        <v>9.390049388251153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6.35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-0.22443869428474866</v>
      </c>
    </row>
    <row r="29" spans="1:2" x14ac:dyDescent="0.25">
      <c r="A29" s="19" t="s">
        <v>73</v>
      </c>
      <c r="B29" s="12">
        <f>B28/B26-1</f>
        <v>-1.0353446762653147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0.05985</v>
      </c>
      <c r="B5" s="31">
        <v>1.0707436575723384</v>
      </c>
      <c r="C5" s="31">
        <v>1.3087576837946635</v>
      </c>
      <c r="D5" s="31">
        <v>1.6122616704684234</v>
      </c>
      <c r="E5" s="31">
        <v>2.0141651454586653</v>
      </c>
      <c r="F5" s="31">
        <v>2.5738641781717133</v>
      </c>
    </row>
    <row r="6" spans="1:6" x14ac:dyDescent="0.25">
      <c r="A6" s="30">
        <v>0.06985</v>
      </c>
      <c r="B6" s="31">
        <v>0.23382295682527326</v>
      </c>
      <c r="C6" s="31">
        <v>0.35087251082525023</v>
      </c>
      <c r="D6" s="31">
        <v>0.49192937631170264</v>
      </c>
      <c r="E6" s="31">
        <v>0.6660301824514379</v>
      </c>
      <c r="F6" s="31">
        <v>0.8873975722802985</v>
      </c>
    </row>
    <row r="7" spans="1:6" x14ac:dyDescent="0.25">
      <c r="A7" s="30">
        <v>0.07985</v>
      </c>
      <c r="B7" s="31">
        <v>-0.3480655837399748</v>
      </c>
      <c r="C7" s="31">
        <v>-0.2906687687462513</v>
      </c>
      <c r="D7" s="32">
        <v>-0.22444706371118645</v>
      </c>
      <c r="E7" s="31">
        <v>-0.14674503532243924</v>
      </c>
      <c r="F7" s="31">
        <v>-0.05372311055202269</v>
      </c>
    </row>
    <row r="8" spans="1:6" x14ac:dyDescent="0.25">
      <c r="A8" s="30">
        <v>0.08985</v>
      </c>
      <c r="B8" s="31">
        <v>-0.7769928130492143</v>
      </c>
      <c r="C8" s="31">
        <v>-0.7515561033013733</v>
      </c>
      <c r="D8" s="31">
        <v>-0.7235272898255697</v>
      </c>
      <c r="E8" s="31">
        <v>-0.69225672256467</v>
      </c>
      <c r="F8" s="31">
        <v>-0.6568578690341444</v>
      </c>
    </row>
    <row r="9" spans="1:6" x14ac:dyDescent="0.25">
      <c r="A9" s="30">
        <v>0.09985</v>
      </c>
      <c r="B9" s="31">
        <v>-1.1049782681356235</v>
      </c>
      <c r="C9" s="31">
        <v>-1.0967528449261104</v>
      </c>
      <c r="D9" s="31">
        <v>-1.088527421716597</v>
      </c>
      <c r="E9" s="31">
        <v>-1.0803019985070828</v>
      </c>
      <c r="F9" s="31">
        <v>-1.0720765752975696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1158807000</v>
      </c>
      <c r="C5" s="18">
        <v>948153000</v>
      </c>
      <c r="D5" s="18">
        <v>1064326000</v>
      </c>
      <c r="E5" s="18">
        <v>1244837000</v>
      </c>
      <c r="F5" s="8" t="s">
        <v>84</v>
      </c>
    </row>
    <row r="6" spans="1:6" x14ac:dyDescent="0.25">
      <c r="A6" t="s">
        <v>44</v>
      </c>
      <c r="B6" s="18">
        <v>-35311000</v>
      </c>
      <c r="C6" s="18">
        <v>27918000</v>
      </c>
      <c r="D6" s="18">
        <v>65024000</v>
      </c>
      <c r="E6" s="18">
        <v>173613000</v>
      </c>
      <c r="F6" s="8" t="s">
        <v>85</v>
      </c>
    </row>
    <row r="7" spans="1:6" x14ac:dyDescent="0.25">
      <c r="A7" t="s">
        <v>86</v>
      </c>
      <c r="B7" s="18">
        <v>100804000</v>
      </c>
      <c r="C7" s="18">
        <v>84168000</v>
      </c>
      <c r="D7" s="18">
        <v>80745000</v>
      </c>
      <c r="E7" s="18">
        <v>45267000</v>
      </c>
      <c r="F7" s="8" t="s">
        <v>87</v>
      </c>
    </row>
    <row r="8" spans="1:6" x14ac:dyDescent="0.25">
      <c r="A8" t="s">
        <v>88</v>
      </c>
      <c r="B8" s="18">
        <v>26606000</v>
      </c>
      <c r="C8" s="18">
        <v>21320000</v>
      </c>
      <c r="D8" s="18">
        <v>26688000</v>
      </c>
      <c r="E8" s="18">
        <v>22952000</v>
      </c>
      <c r="F8" s="8" t="s">
        <v>89</v>
      </c>
    </row>
    <row r="9" spans="1:6" x14ac:dyDescent="0.25">
      <c r="A9" t="s">
        <v>90</v>
      </c>
      <c r="B9" s="18">
        <v>65895000</v>
      </c>
      <c r="C9" s="18">
        <v>-43728000</v>
      </c>
      <c r="D9" s="18">
        <v>-84120000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631365000</v>
      </c>
      <c r="C10" s="18">
        <v>545037000</v>
      </c>
      <c r="D10" s="18">
        <v>590210000</v>
      </c>
      <c r="E10" s="18">
        <v>649732000</v>
      </c>
      <c r="F10" s="8" t="s">
        <v>93</v>
      </c>
    </row>
    <row r="11" spans="1:6" x14ac:dyDescent="0.25">
      <c r="A11" t="s">
        <v>94</v>
      </c>
      <c r="B11" s="18">
        <v>30701000</v>
      </c>
      <c r="C11" s="18">
        <v>17372000</v>
      </c>
      <c r="D11" s="18">
        <v>24112000</v>
      </c>
      <c r="E11" s="18">
        <v>20318000</v>
      </c>
      <c r="F11" s="8" t="s">
        <v>95</v>
      </c>
    </row>
    <row r="12" spans="1:6" x14ac:dyDescent="0.25">
      <c r="A12" t="s">
        <v>32</v>
      </c>
      <c r="B12" s="34">
        <v>146529960</v>
      </c>
      <c r="C12" s="34">
        <v>133096187</v>
      </c>
      <c r="D12" s="34">
        <v>132715619</v>
      </c>
      <c r="E12" s="34">
        <v>132715619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70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38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2026-09-19T00:08:10Z</dcterms:modified>
</cp:coreProperties>
</file>