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<sst xmlns="http://schemas.openxmlformats.org/spreadsheetml/2006/main" count="119" uniqueCount="106">
  <si>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Vistra Corp. (VST)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</si>
  <si>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</si>
  <si>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</si>
  <si>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</si>
  <si>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</si>
  <si>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</si>
  <si>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</si>
  <si>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</si>
  <si>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</si>
  <si>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</si>
  <si>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</si>
  <si>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</si>
  <si>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</si>
  <si>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</si>
  <si>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</si>
  <si>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</si>
  <si>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</si>
  <si>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</si>
  <si>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</si>
  <si>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</si>
  <si>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</si>
  <si>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</si>
  <si>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</si>
  <si>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</si>
  <si>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+ 184bp, the spread for a BB rating at 2.2x interest cover. Book interest / average debt was lower, at 5.3%.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</si>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</sst>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0.24132158811590942</v>
      </c>
    </row>
    <row r="7" spans="1:2" x14ac:dyDescent="0.25">
      <c r="A7" t="s">
        <v>4</v>
      </c>
      <c r="B7" s="5">
        <v>0.11506626869715118</v>
      </c>
    </row>
    <row r="8" spans="1:2" x14ac:dyDescent="0.25">
      <c r="A8" t="s">
        <v>5</v>
      </c>
      <c r="B8" s="5">
        <v>0.1889241419094318</v>
      </c>
    </row>
    <row r="9" spans="1:2" x14ac:dyDescent="0.25">
      <c r="A9" t="s">
        <v>6</v>
      </c>
      <c r="B9" s="5">
        <v>0.1501307132848805</v>
      </c>
    </row>
    <row r="10" spans="1:3" x14ac:dyDescent="0.25">
      <c r="A10" t="s">
        <v>7</v>
      </c>
      <c r="B10" s="5">
        <v>0.12099168014217615</v>
      </c>
      <c r="C10" s="6" t="s">
        <v>8</v>
      </c>
    </row>
    <row r="11" spans="1:2" x14ac:dyDescent="0.25">
      <c r="A11" t="s">
        <v>9</v>
      </c>
      <c r="B11" s="5">
        <v>0.08472507091397401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12.92778140047207</v>
      </c>
    </row>
    <row r="14" spans="1:3" x14ac:dyDescent="0.25">
      <c r="A14" t="s">
        <v>12</v>
      </c>
      <c r="B14" s="5">
        <v>0.1275468911637811</v>
      </c>
      <c r="C14" s="6" t="s">
        <v>13</v>
      </c>
    </row>
    <row r="15" spans="1:3" x14ac:dyDescent="0.25">
      <c r="A15" t="s">
        <v>14</v>
      </c>
      <c r="B15" s="5">
        <v>0.1501307132848805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1.25728</v>
      </c>
      <c r="C19" s="6" t="s">
        <v>21</v>
      </c>
    </row>
    <row r="20" spans="1:2" x14ac:dyDescent="0.25">
      <c r="A20" t="s">
        <v>22</v>
      </c>
      <c r="B20" s="9">
        <f>B17+B19*B18</f>
        <v>0.102122944</v>
      </c>
    </row>
    <row r="21" spans="1:3" x14ac:dyDescent="0.25">
      <c r="A21" t="s">
        <v>23</v>
      </c>
      <c r="B21" s="5">
        <v>0.06734000000000001</v>
      </c>
      <c r="C21" s="6" t="s">
        <v>24</v>
      </c>
    </row>
    <row r="22" spans="1:2" x14ac:dyDescent="0.25">
      <c r="A22" t="s">
        <v>25</v>
      </c>
      <c r="B22" s="10">
        <v>46441840640</v>
      </c>
    </row>
    <row r="23" spans="1:2" x14ac:dyDescent="0.25">
      <c r="A23" t="s">
        <v>26</v>
      </c>
      <c r="B23" s="10">
        <v>20068000000</v>
      </c>
    </row>
    <row r="24" spans="1:2" x14ac:dyDescent="0.25">
      <c r="A24" t="s">
        <v>27</v>
      </c>
      <c r="B24" s="9">
        <f>B22/(B22+B23)</f>
        <v>0.6982702137474254</v>
      </c>
    </row>
    <row r="25" spans="1:2" x14ac:dyDescent="0.25">
      <c r="A25" t="s">
        <v>28</v>
      </c>
      <c r="B25" s="9">
        <f>1-B24</f>
        <v>0.3017297862525746</v>
      </c>
    </row>
    <row r="26" spans="1:2" x14ac:dyDescent="0.25">
      <c r="A26" t="s">
        <v>29</v>
      </c>
      <c r="B26" s="11">
        <f>B24*B20+B25*B21*(1-B8)</f>
        <v>0.08778924162364857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17738000000</v>
      </c>
      <c r="C29" s="6" t="s">
        <v>32</v>
      </c>
    </row>
    <row r="30" spans="1:2" x14ac:dyDescent="0.25">
      <c r="A30" t="s">
        <v>33</v>
      </c>
      <c r="B30" s="10">
        <v>19283000000</v>
      </c>
    </row>
    <row r="31" spans="1:2" x14ac:dyDescent="0.25">
      <c r="A31" t="s">
        <v>34</v>
      </c>
      <c r="B31" s="12">
        <v>338059635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0.24132158811590942</v>
      </c>
      <c r="C5" s="5">
        <v>0.05089894895058755</v>
      </c>
      <c r="D5" s="5">
        <v>0.04766158033176411</v>
      </c>
      <c r="E5" s="5">
        <v>0.04442421171294066</v>
      </c>
      <c r="F5" s="5">
        <v>0.04118684309411722</v>
      </c>
      <c r="G5" s="5">
        <v>0.037949474475293773</v>
      </c>
      <c r="H5" s="5">
        <v>0.03471210585647033</v>
      </c>
      <c r="I5" s="5">
        <v>0.03147473723764689</v>
      </c>
      <c r="J5" s="5">
        <v>0.028237368618823446</v>
      </c>
      <c r="K5" s="5">
        <v>0.025</v>
      </c>
    </row>
    <row r="6" spans="1:11" x14ac:dyDescent="0.25">
      <c r="A6" t="s">
        <v>50</v>
      </c>
      <c r="B6" s="18">
        <f>Assumptions!B29*(1+B5)</f>
        <v>22018562330</v>
      </c>
      <c r="C6" s="18">
        <f>B6*(1+C5)</f>
        <v>23139284010</v>
      </c>
      <c r="D6" s="18">
        <f>C6*(1+D5)</f>
        <v>24242138853.66212</v>
      </c>
      <c r="E6" s="18">
        <f>D6*(1+E5)</f>
        <v>25319076762.471714</v>
      </c>
      <c r="F6" s="18">
        <f>E6*(1+F5)</f>
        <v>26361889604.375546</v>
      </c>
      <c r="G6" s="18">
        <f>F6*(1+G5)</f>
        <v>27362309461.037308</v>
      </c>
      <c r="H6" s="18">
        <f>G6*(1+H5)</f>
        <v>28312112843.526333</v>
      </c>
      <c r="I6" s="18">
        <f>H6*(1+I5)</f>
        <v>29203229155.918934</v>
      </c>
      <c r="J6" s="18">
        <f>I6*(1+J5)</f>
        <v>30027851502.45459</v>
      </c>
      <c r="K6" s="18">
        <f>J6*(1+K5)</f>
        <v>30778547790.015953</v>
      </c>
    </row>
    <row r="7" spans="1:11" x14ac:dyDescent="0.25">
      <c r="A7" t="s">
        <v>4</v>
      </c>
      <c r="B7" s="9">
        <f>Assumptions!B7</f>
        <v>0.11506626869715118</v>
      </c>
      <c r="C7" s="9">
        <f>Assumptions!B7</f>
        <v>0.11506626869715118</v>
      </c>
      <c r="D7" s="9">
        <f>Assumptions!B7</f>
        <v>0.11506626869715118</v>
      </c>
      <c r="E7" s="9">
        <f>Assumptions!B7</f>
        <v>0.11506626869715118</v>
      </c>
      <c r="F7" s="9">
        <f>Assumptions!B7</f>
        <v>0.11506626869715118</v>
      </c>
      <c r="G7" s="9">
        <f>Assumptions!B7</f>
        <v>0.11506626869715118</v>
      </c>
      <c r="H7" s="9">
        <f>Assumptions!B7</f>
        <v>0.11506626869715118</v>
      </c>
      <c r="I7" s="9">
        <f>Assumptions!B7</f>
        <v>0.11506626869715118</v>
      </c>
      <c r="J7" s="9">
        <f>Assumptions!B7</f>
        <v>0.11506626869715118</v>
      </c>
      <c r="K7" s="9">
        <f>Assumptions!B7</f>
        <v>0.11506626869715118</v>
      </c>
    </row>
    <row r="8" spans="1:11" x14ac:dyDescent="0.25">
      <c r="A8" t="s">
        <v>51</v>
      </c>
      <c r="B8" s="18">
        <f>B6*B7</f>
        <v>2533593809.388751</v>
      </c>
      <c r="C8" s="18">
        <f>C6*C7</f>
        <v>2662551071.354354</v>
      </c>
      <c r="D8" s="18">
        <f>D6*D7</f>
        <v>2789452463.129134</v>
      </c>
      <c r="E8" s="18">
        <f>E6*E7</f>
        <v>2913371689.9143667</v>
      </c>
      <c r="F8" s="18">
        <f>F6*F7</f>
        <v>3033364272.581713</v>
      </c>
      <c r="G8" s="18">
        <f>G6*G7</f>
        <v>3148478852.618321</v>
      </c>
      <c r="H8" s="18">
        <f>H6*H7</f>
        <v>3257769183.837266</v>
      </c>
      <c r="I8" s="18">
        <f>I6*I7</f>
        <v>3360306612.8794475</v>
      </c>
      <c r="J8" s="18">
        <f>J6*J7</f>
        <v>3455192829.379595</v>
      </c>
      <c r="K8" s="18">
        <f>K6*K7</f>
        <v>3541572650.1140842</v>
      </c>
    </row>
    <row r="9" spans="1:11" x14ac:dyDescent="0.25">
      <c r="A9" t="s">
        <v>52</v>
      </c>
      <c r="B9" s="18">
        <f>B8*(1-Assumptions!B8)</f>
        <v>2054936773.0029325</v>
      </c>
      <c r="C9" s="18">
        <f>C8*(1-Assumptions!B8)</f>
        <v>2159530894.9086943</v>
      </c>
      <c r="D9" s="18">
        <f>D8*(1-Assumptions!B8)</f>
        <v>2262457550.1353116</v>
      </c>
      <c r="E9" s="18">
        <f>E8*(1-Assumptions!B8)</f>
        <v>2362965443.3340635</v>
      </c>
      <c r="F9" s="18">
        <f>F8*(1-Assumptions!B8)</f>
        <v>2460288530.2854853</v>
      </c>
      <c r="G9" s="18">
        <f>G8*(1-Assumptions!B8)</f>
        <v>2553655187.067412</v>
      </c>
      <c r="H9" s="18">
        <f>H8*(1-Assumptions!B8)</f>
        <v>2642297936.2418203</v>
      </c>
      <c r="I9" s="18">
        <f>I8*(1-Assumptions!B8)</f>
        <v>2725463569.4886084</v>
      </c>
      <c r="J9" s="18">
        <f>J8*(1-Assumptions!B8)</f>
        <v>2802423488.9574327</v>
      </c>
      <c r="K9" s="18">
        <f>K8*(1-Assumptions!B8)</f>
        <v>2872484076.1813684</v>
      </c>
    </row>
    <row r="10" spans="1:11" x14ac:dyDescent="0.25">
      <c r="A10" t="s">
        <v>53</v>
      </c>
      <c r="B10" s="18">
        <f>B6*Assumptions!B9</f>
        <v>3305662468.1105003</v>
      </c>
      <c r="C10" s="18">
        <f>C6*Assumptions!B9</f>
        <v>3473917213.32273</v>
      </c>
      <c r="D10" s="18">
        <f>D6*Assumptions!B9</f>
        <v>3639489597.6514096</v>
      </c>
      <c r="E10" s="18">
        <f>E6*Assumptions!B9</f>
        <v>3801171054.0645213</v>
      </c>
      <c r="F10" s="18">
        <f>F6*Assumptions!B9</f>
        <v>3957729289.842177</v>
      </c>
      <c r="G10" s="18">
        <f>G6*Assumptions!B9</f>
        <v>4107923036.5071654</v>
      </c>
      <c r="H10" s="18">
        <f>H6*Assumptions!B9</f>
        <v>4250517695.800635</v>
      </c>
      <c r="I10" s="18">
        <f>I6*Assumptions!B9</f>
        <v>4384301623.399928</v>
      </c>
      <c r="J10" s="18">
        <f>J6*Assumptions!B9</f>
        <v>4508102764.475979</v>
      </c>
      <c r="K10" s="18">
        <f>K6*Assumptions!B9</f>
        <v>4620805333.587877</v>
      </c>
    </row>
    <row r="11" spans="1:11" x14ac:dyDescent="0.25">
      <c r="A11" t="s">
        <v>54</v>
      </c>
      <c r="B11" s="18">
        <f>-B6*B19</f>
        <v>-2664062850.6219287</v>
      </c>
      <c r="C11" s="18">
        <f>-C6*C19</f>
        <v>-2921609529.888571</v>
      </c>
      <c r="D11" s="18">
        <f>-D6*D19</f>
        <v>-3188619004.246297</v>
      </c>
      <c r="E11" s="18">
        <f>-E6*E19</f>
        <v>-3463707516.37417</v>
      </c>
      <c r="F11" s="18">
        <f>-F6*F19</f>
        <v>-3745299154.1813283</v>
      </c>
      <c r="G11" s="18">
        <f>-G6*G19</f>
        <v>-4031636162.4788227</v>
      </c>
      <c r="H11" s="18">
        <f>-H6*H19</f>
        <v>-4320793272.208046</v>
      </c>
      <c r="I11" s="18">
        <f>-I6*I19</f>
        <v>-4610695995.768549</v>
      </c>
      <c r="J11" s="18">
        <f>-J6*J19</f>
        <v>-4899142734.454492</v>
      </c>
      <c r="K11" s="18">
        <f>-K6*K19</f>
        <v>-5183830439.486549</v>
      </c>
    </row>
    <row r="12" spans="1:11" x14ac:dyDescent="0.25">
      <c r="A12" t="s">
        <v>55</v>
      </c>
      <c r="B12" s="18">
        <f>-(B6-Assumptions!B29)*Assumptions!B11</f>
        <v>-362670946.96093583</v>
      </c>
      <c r="C12" s="18">
        <f>-(C6-B6)*Assumptions!B11</f>
        <v>-94953223.81282808</v>
      </c>
      <c r="D12" s="18">
        <f>-(D6-C6)*Assumptions!B11</f>
        <v>-93439454.8370929</v>
      </c>
      <c r="E12" s="18">
        <f>-(E6-D6)*Assumptions!B11</f>
        <v>-91243640.69383965</v>
      </c>
      <c r="F12" s="18">
        <f>-(F6-E6)*Assumptions!B11</f>
        <v>-88352391.98030488</v>
      </c>
      <c r="G12" s="18">
        <f>-(G6-F6)*Assumptions!B11</f>
        <v>-84760643.29941551</v>
      </c>
      <c r="H12" s="18">
        <f>-(H6-G6)*Assumptions!B11</f>
        <v>-80472158.93571503</v>
      </c>
      <c r="I12" s="18">
        <f>-(I6-H6)*Assumptions!B11</f>
        <v>-75499892.76006213</v>
      </c>
      <c r="J12" s="18">
        <f>-(J6-I6)*Assumptions!B11</f>
        <v>-69866186.7874811</v>
      </c>
      <c r="K12" s="18">
        <f>-(K6-J6)*Assumptions!B11</f>
        <v>-63602796.198493525</v>
      </c>
    </row>
    <row r="13" spans="1:11" x14ac:dyDescent="0.25">
      <c r="A13" s="19" t="s">
        <v>56</v>
      </c>
      <c r="B13" s="20">
        <f>B9+B10+B11+B12</f>
        <v>2333865443.530568</v>
      </c>
      <c r="C13" s="20">
        <f>C9+C10+C11+C12</f>
        <v>2616885354.5300255</v>
      </c>
      <c r="D13" s="20">
        <f>D9+D10+D11+D12</f>
        <v>2619888688.7033315</v>
      </c>
      <c r="E13" s="20">
        <f>E9+E10+E11+E12</f>
        <v>2609185340.330575</v>
      </c>
      <c r="F13" s="20">
        <f>F9+F10+F11+F12</f>
        <v>2584366273.9660296</v>
      </c>
      <c r="G13" s="20">
        <f>G9+G10+G11+G12</f>
        <v>2545181417.796339</v>
      </c>
      <c r="H13" s="20">
        <f>H9+H10+H11+H12</f>
        <v>2491550200.8986945</v>
      </c>
      <c r="I13" s="20">
        <f>I9+I10+I11+I12</f>
        <v>2423569304.3599253</v>
      </c>
      <c r="J13" s="20">
        <f>J9+J10+J11+J12</f>
        <v>2341517332.1914387</v>
      </c>
      <c r="K13" s="20">
        <f>K9+K10+K11+K12</f>
        <v>2245856174.0842023</v>
      </c>
    </row>
    <row r="14" spans="1:11" x14ac:dyDescent="0.25">
      <c r="A14" t="s">
        <v>57</v>
      </c>
      <c r="B14" s="21">
        <f>1/(1+Assumptions!$B$26)^(1-0.5*Assumptions!$B$32)</f>
        <v>0.9587991058799036</v>
      </c>
      <c r="C14" s="21">
        <f>1/(1+Assumptions!$B$26)^(2-0.5*Assumptions!$B$32)</f>
        <v>0.8814199195873527</v>
      </c>
      <c r="D14" s="21">
        <f>1/(1+Assumptions!$B$26)^(3-0.5*Assumptions!$B$32)</f>
        <v>0.8102855643908867</v>
      </c>
      <c r="E14" s="21">
        <f>1/(1+Assumptions!$B$26)^(4-0.5*Assumptions!$B$32)</f>
        <v>0.7448920557271221</v>
      </c>
      <c r="F14" s="21">
        <f>1/(1+Assumptions!$B$26)^(5-0.5*Assumptions!$B$32)</f>
        <v>0.6847760827412546</v>
      </c>
      <c r="G14" s="21">
        <f>1/(1+Assumptions!$B$26)^(6-0.5*Assumptions!$B$32)</f>
        <v>0.6295117257449143</v>
      </c>
      <c r="H14" s="21">
        <f>1/(1+Assumptions!$B$26)^(7-0.5*Assumptions!$B$32)</f>
        <v>0.5787074385892039</v>
      </c>
      <c r="I14" s="21">
        <f>1/(1+Assumptions!$B$26)^(8-0.5*Assumptions!$B$32)</f>
        <v>0.5320032745731311</v>
      </c>
      <c r="J14" s="21">
        <f>1/(1+Assumptions!$B$26)^(9-0.5*Assumptions!$B$32)</f>
        <v>0.48906833623308865</v>
      </c>
      <c r="K14" s="21">
        <f>1/(1+Assumptions!$B$26)^(10-0.5*Assumptions!$B$32)</f>
        <v>0.4495984309452251</v>
      </c>
    </row>
    <row r="15" spans="1:11" x14ac:dyDescent="0.25">
      <c r="A15" s="19" t="s">
        <v>58</v>
      </c>
      <c r="B15" s="20">
        <f>B13*B14</f>
        <v>2237708100.5011134</v>
      </c>
      <c r="C15" s="20">
        <f>C13*C14</f>
        <v>2306574878.759176</v>
      </c>
      <c r="D15" s="20">
        <f>D13*D14</f>
        <v>2122857984.7672791</v>
      </c>
      <c r="E15" s="20">
        <f>E13*E14</f>
        <v>1943561431.931913</v>
      </c>
      <c r="F15" s="20">
        <f>F13*F14</f>
        <v>1769712213.4550698</v>
      </c>
      <c r="G15" s="20">
        <f>G13*G14</f>
        <v>1602221546.6508613</v>
      </c>
      <c r="H15" s="20">
        <f>H13*H14</f>
        <v>1441878634.8785</v>
      </c>
      <c r="I15" s="20">
        <f>I13*I14</f>
        <v>1289346806.0744057</v>
      </c>
      <c r="J15" s="20">
        <f>J13*J14</f>
        <v>1145161985.9158072</v>
      </c>
      <c r="K15" s="20">
        <f>K13*K14</f>
        <v>1009733411.9969037</v>
      </c>
    </row>
    <row r="17" spans="1:2" x14ac:dyDescent="0.25">
      <c r="A17" s="22" t="s">
        <v>59</v>
      </c>
      <c r="B17" s="23">
        <f>SUM(B15:K15)</f>
        <v>16868756994.931032</v>
      </c>
    </row>
    <row r="19" spans="1:11" x14ac:dyDescent="0.25">
      <c r="A19" t="s">
        <v>7</v>
      </c>
      <c r="B19" s="9">
        <f>Assumptions!$B$10+($B$20-Assumptions!$B$10)*0/9</f>
        <v>0.12099168014217615</v>
      </c>
      <c r="C19" s="9">
        <f>Assumptions!$B$10+($B$20-Assumptions!$B$10)*1/9</f>
        <v>0.12626188125034257</v>
      </c>
      <c r="D19" s="9">
        <f>Assumptions!$B$10+($B$20-Assumptions!$B$10)*2/9</f>
        <v>0.131532082358509</v>
      </c>
      <c r="E19" s="9">
        <f>Assumptions!$B$10+($B$20-Assumptions!$B$10)*3/9</f>
        <v>0.13680228346667542</v>
      </c>
      <c r="F19" s="9">
        <f>Assumptions!$B$10+($B$20-Assumptions!$B$10)*4/9</f>
        <v>0.14207248457484184</v>
      </c>
      <c r="G19" s="9">
        <f>Assumptions!$B$10+($B$20-Assumptions!$B$10)*5/9</f>
        <v>0.14734268568300823</v>
      </c>
      <c r="H19" s="9">
        <f>Assumptions!$B$10+($B$20-Assumptions!$B$10)*6/9</f>
        <v>0.15261288679117466</v>
      </c>
      <c r="I19" s="9">
        <f>Assumptions!$B$10+($B$20-Assumptions!$B$10)*7/9</f>
        <v>0.15788308789934108</v>
      </c>
      <c r="J19" s="9">
        <f>Assumptions!$B$10+($B$20-Assumptions!$B$10)*8/9</f>
        <v>0.1631532890075075</v>
      </c>
      <c r="K19" s="9">
        <f>Assumptions!$B$10+($B$20-Assumptions!$B$10)*9/9</f>
        <v>0.16842349011567392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0.16842349011567392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2245856174.0842023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2872484076.1813684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0.19600634536750777</v>
      </c>
    </row>
    <row r="7" spans="1:2" x14ac:dyDescent="0.25">
      <c r="A7" t="s">
        <v>66</v>
      </c>
      <c r="B7" s="18">
        <f>-MAX(B5,0)*B6</f>
        <v>-563025105.8986717</v>
      </c>
    </row>
    <row r="8" spans="1:2" x14ac:dyDescent="0.25">
      <c r="A8" t="s">
        <v>67</v>
      </c>
      <c r="B8" s="18">
        <f>IF(OR(Assumptions!$B$33=0,Assumptions!B12&lt;=0),B5,MAX(B5+B7,0))</f>
        <v>2309458970.2826967</v>
      </c>
    </row>
    <row r="9" spans="1:2" x14ac:dyDescent="0.25">
      <c r="A9" t="s">
        <v>68</v>
      </c>
      <c r="B9" s="18">
        <f>B8*(1+Assumptions!B12)/(Assumptions!B26-Assumptions!B12)</f>
        <v>37700653540.75239</v>
      </c>
    </row>
    <row r="10" spans="1:2" x14ac:dyDescent="0.25">
      <c r="A10" t="s">
        <v>69</v>
      </c>
      <c r="B10" s="18">
        <f>B9/(1+Assumptions!B26)^(10-0.5*Assumptions!B32)</f>
        <v>16950154677.531818</v>
      </c>
    </row>
    <row r="11" spans="1:2" x14ac:dyDescent="0.25">
      <c r="A11" t="s">
        <v>70</v>
      </c>
      <c r="B11" s="18">
        <f>Forecast!B17+B10</f>
        <v>33818911672.462852</v>
      </c>
    </row>
    <row r="12" spans="1:2" x14ac:dyDescent="0.25">
      <c r="A12" t="s">
        <v>71</v>
      </c>
      <c r="B12" s="18">
        <f>-Assumptions!B30</f>
        <v>-19283000000</v>
      </c>
    </row>
    <row r="13" spans="1:2" x14ac:dyDescent="0.25">
      <c r="A13" t="s">
        <v>72</v>
      </c>
      <c r="B13" s="18">
        <f>B11+B12</f>
        <v>14535911672.462852</v>
      </c>
    </row>
    <row r="14" spans="1:2" x14ac:dyDescent="0.25">
      <c r="A14" s="19" t="s">
        <v>73</v>
      </c>
      <c r="B14" s="24">
        <f>B13/Assumptions!B31</f>
        <v>42.99806947511747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8162377983.7019615</v>
      </c>
    </row>
    <row r="18" spans="1:2" x14ac:dyDescent="0.25">
      <c r="A18" t="s">
        <v>68</v>
      </c>
      <c r="B18" s="18">
        <f>B17*Assumptions!B13</f>
        <v>105521438281.32494</v>
      </c>
    </row>
    <row r="19" spans="1:2" x14ac:dyDescent="0.25">
      <c r="A19" t="s">
        <v>69</v>
      </c>
      <c r="B19" s="18">
        <f>B18/(1+Assumptions!B26)^(10-0.5*Assumptions!B32)</f>
        <v>47442273082.3671</v>
      </c>
    </row>
    <row r="20" spans="1:2" x14ac:dyDescent="0.25">
      <c r="A20" t="s">
        <v>70</v>
      </c>
      <c r="B20" s="18">
        <f>Forecast!B17+B19</f>
        <v>64311030077.298134</v>
      </c>
    </row>
    <row r="21" spans="1:2" x14ac:dyDescent="0.25">
      <c r="A21" t="s">
        <v>71</v>
      </c>
      <c r="B21" s="18">
        <f>-Assumptions!B30</f>
        <v>-19283000000</v>
      </c>
    </row>
    <row r="22" spans="1:2" x14ac:dyDescent="0.25">
      <c r="A22" t="s">
        <v>72</v>
      </c>
      <c r="B22" s="18">
        <f>B20+B21</f>
        <v>45028030077.298134</v>
      </c>
    </row>
    <row r="23" spans="1:2" x14ac:dyDescent="0.25">
      <c r="A23" s="19" t="s">
        <v>73</v>
      </c>
      <c r="B23" s="25">
        <f>B22/Assumptions!B31</f>
        <v>133.19552355695507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138.37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42.99806947511747</v>
      </c>
    </row>
    <row r="29" spans="1:2" x14ac:dyDescent="0.25">
      <c r="A29" s="19" t="s">
        <v>81</v>
      </c>
      <c r="B29" s="11">
        <f>B28/B26-1</f>
        <v>-0.6892529487958556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0.067789</v>
      </c>
      <c r="B5" s="31">
        <v>76.31169926282298</v>
      </c>
      <c r="C5" s="31">
        <v>80.02440577803368</v>
      </c>
      <c r="D5" s="31">
        <v>84.79302963965957</v>
      </c>
      <c r="E5" s="31">
        <v>91.0367076387306</v>
      </c>
      <c r="F5" s="31">
        <v>99.43023351893143</v>
      </c>
    </row>
    <row r="6" spans="1:6" x14ac:dyDescent="0.25">
      <c r="A6" s="30">
        <v>0.077789</v>
      </c>
      <c r="B6" s="31">
        <v>56.21629424629073</v>
      </c>
      <c r="C6" s="31">
        <v>57.871210927992614</v>
      </c>
      <c r="D6" s="31">
        <v>59.98386603922694</v>
      </c>
      <c r="E6" s="31">
        <v>62.69793440982874</v>
      </c>
      <c r="F6" s="31">
        <v>66.22424590005446</v>
      </c>
    </row>
    <row r="7" spans="1:6" x14ac:dyDescent="0.25">
      <c r="A7" s="30">
        <v>0.087789</v>
      </c>
      <c r="B7" s="31">
        <v>41.60505572156694</v>
      </c>
      <c r="C7" s="31">
        <v>42.19721071040906</v>
      </c>
      <c r="D7" s="32">
        <v>42.998415423169085</v>
      </c>
      <c r="E7" s="31">
        <v>44.06293184497862</v>
      </c>
      <c r="F7" s="31">
        <v>45.46558002614628</v>
      </c>
    </row>
    <row r="8" spans="1:6" x14ac:dyDescent="0.25">
      <c r="A8" s="30">
        <v>0.097789</v>
      </c>
      <c r="B8" s="31">
        <v>30.493012531415893</v>
      </c>
      <c r="C8" s="31">
        <v>30.507181904727418</v>
      </c>
      <c r="D8" s="31">
        <v>30.617026521391296</v>
      </c>
      <c r="E8" s="31">
        <v>30.843716905390504</v>
      </c>
      <c r="F8" s="31">
        <v>31.215166966964595</v>
      </c>
    </row>
    <row r="9" spans="1:6" x14ac:dyDescent="0.25">
      <c r="A9" s="30">
        <v>0.107789</v>
      </c>
      <c r="B9" s="31">
        <v>21.75071866611154</v>
      </c>
      <c r="C9" s="31">
        <v>21.44256083450204</v>
      </c>
      <c r="D9" s="31">
        <v>21.17528300245051</v>
      </c>
      <c r="E9" s="31">
        <v>20.95676803248723</v>
      </c>
      <c r="F9" s="31">
        <v>20.797064735989277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17738000000</v>
      </c>
      <c r="C5" s="18">
        <v>17224000000</v>
      </c>
      <c r="D5" s="18">
        <v>14779000000</v>
      </c>
      <c r="E5" s="18">
        <v>13728000000</v>
      </c>
      <c r="F5" s="6" t="s">
        <v>91</v>
      </c>
    </row>
    <row r="6" spans="1:6" x14ac:dyDescent="0.25">
      <c r="A6" t="s">
        <v>51</v>
      </c>
      <c r="B6" s="18">
        <v>2134000000</v>
      </c>
      <c r="C6" s="18">
        <v>4081000000</v>
      </c>
      <c r="D6" s="18">
        <v>2710000000</v>
      </c>
      <c r="E6" s="18">
        <v>-1103000000</v>
      </c>
      <c r="F6" s="6" t="s">
        <v>92</v>
      </c>
    </row>
    <row r="7" spans="1:6" x14ac:dyDescent="0.25">
      <c r="A7" t="s">
        <v>93</v>
      </c>
      <c r="B7" s="18">
        <v>2950000000</v>
      </c>
      <c r="C7" s="18">
        <v>2631000000</v>
      </c>
      <c r="D7" s="18">
        <v>1956000000</v>
      </c>
      <c r="E7" s="18">
        <v>2047000000</v>
      </c>
      <c r="F7" s="6" t="s">
        <v>94</v>
      </c>
    </row>
    <row r="8" spans="1:6" x14ac:dyDescent="0.25">
      <c r="A8" t="s">
        <v>95</v>
      </c>
      <c r="B8" s="18">
        <v>2752000000</v>
      </c>
      <c r="C8" s="18">
        <v>2078000000</v>
      </c>
      <c r="D8" s="18">
        <v>1676000000</v>
      </c>
      <c r="E8" s="18">
        <v>1301000000</v>
      </c>
      <c r="F8" s="6" t="s">
        <v>96</v>
      </c>
    </row>
    <row r="9" spans="1:6" x14ac:dyDescent="0.25">
      <c r="A9" t="s">
        <v>97</v>
      </c>
      <c r="B9" s="18">
        <v>1088000000</v>
      </c>
      <c r="C9" s="18">
        <v>416000000</v>
      </c>
      <c r="D9" s="18">
        <v>-1589000000</v>
      </c>
      <c r="E9" s="18">
        <v>2578000000</v>
      </c>
      <c r="F9" s="6" t="s">
        <v>98</v>
      </c>
    </row>
    <row r="10" spans="1:6" x14ac:dyDescent="0.25">
      <c r="A10" t="s">
        <v>99</v>
      </c>
      <c r="B10" s="18">
        <v>20068000000</v>
      </c>
      <c r="C10" s="18">
        <v>17048000000</v>
      </c>
      <c r="D10" s="18">
        <v>14677000000</v>
      </c>
      <c r="E10" s="18">
        <v>13336000000</v>
      </c>
      <c r="F10" s="6" t="s">
        <v>100</v>
      </c>
    </row>
    <row r="11" spans="1:6" x14ac:dyDescent="0.25">
      <c r="A11" t="s">
        <v>101</v>
      </c>
      <c r="B11" s="18">
        <v>785000000</v>
      </c>
      <c r="C11" s="18">
        <v>1188000000</v>
      </c>
      <c r="D11" s="18">
        <v>3485000000</v>
      </c>
      <c r="E11" s="18">
        <v>455000000</v>
      </c>
      <c r="F11" s="6" t="s">
        <v>102</v>
      </c>
    </row>
    <row r="12" spans="1:6" x14ac:dyDescent="0.25">
      <c r="A12" t="s">
        <v>34</v>
      </c>
      <c r="B12" s="34">
        <v>338059635</v>
      </c>
      <c r="C12" s="34">
        <v>352567060</v>
      </c>
      <c r="D12" s="34">
        <v>375193110</v>
      </c>
      <c r="E12" s="34">
        <v>389754870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