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<sst xmlns="http://schemas.openxmlformats.org/spreadsheetml/2006/main" count="111" uniqueCount="99">
  <si>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Vistra Corp. (VST)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</si>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</sst>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0.08917866741227787</v>
      </c>
    </row>
    <row r="7" spans="1:2" x14ac:dyDescent="0.25">
      <c r="A7" t="s">
        <v>5</v>
      </c>
      <c r="B7" s="6">
        <v>0.11506626869715118</v>
      </c>
    </row>
    <row r="8" spans="1:2" x14ac:dyDescent="0.25">
      <c r="A8" t="s">
        <v>6</v>
      </c>
      <c r="B8" s="6">
        <v>0.1889241419094318</v>
      </c>
    </row>
    <row r="9" spans="1:2" x14ac:dyDescent="0.25">
      <c r="A9" t="s">
        <v>7</v>
      </c>
      <c r="B9" s="6">
        <v>0.1501307132848805</v>
      </c>
    </row>
    <row r="10" spans="1:2" x14ac:dyDescent="0.25">
      <c r="A10" t="s">
        <v>8</v>
      </c>
      <c r="B10" s="6">
        <v>0.12099168014217615</v>
      </c>
    </row>
    <row r="11" spans="1:2" x14ac:dyDescent="0.25">
      <c r="A11" t="s">
        <v>9</v>
      </c>
      <c r="B11" s="6">
        <v>0.1701431492842536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13.079622634146341</v>
      </c>
    </row>
    <row r="14" spans="1:3" x14ac:dyDescent="0.25">
      <c r="A14" t="s">
        <v>12</v>
      </c>
      <c r="B14" s="6">
        <v>0.1275468911637811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1.27738</v>
      </c>
      <c r="C19" s="8" t="s">
        <v>19</v>
      </c>
    </row>
    <row r="20" spans="1:2" x14ac:dyDescent="0.25">
      <c r="A20" t="s">
        <v>20</v>
      </c>
      <c r="B20" s="10">
        <f>B17+B19*B18</f>
        <v>0.1202359</v>
      </c>
    </row>
    <row r="21" spans="1:3" x14ac:dyDescent="0.25">
      <c r="A21" t="s">
        <v>21</v>
      </c>
      <c r="B21" s="6">
        <v>0.052915184825951075</v>
      </c>
      <c r="C21" s="8" t="s">
        <v>22</v>
      </c>
    </row>
    <row r="22" spans="1:2" x14ac:dyDescent="0.25">
      <c r="A22" t="s">
        <v>23</v>
      </c>
      <c r="B22" s="11">
        <v>47213801472</v>
      </c>
    </row>
    <row r="23" spans="1:2" x14ac:dyDescent="0.25">
      <c r="A23" t="s">
        <v>24</v>
      </c>
      <c r="B23" s="11">
        <v>20068000000</v>
      </c>
    </row>
    <row r="24" spans="1:2" x14ac:dyDescent="0.25">
      <c r="A24" t="s">
        <v>25</v>
      </c>
      <c r="B24" s="10">
        <f>B22/(B22+B23)</f>
        <v>0.7017321242750686</v>
      </c>
    </row>
    <row r="25" spans="1:2" x14ac:dyDescent="0.25">
      <c r="A25" t="s">
        <v>26</v>
      </c>
      <c r="B25" s="10">
        <f>1-B24</f>
        <v>0.2982678757249314</v>
      </c>
    </row>
    <row r="26" spans="1:2" x14ac:dyDescent="0.25">
      <c r="A26" t="s">
        <v>27</v>
      </c>
      <c r="B26" s="12">
        <f>B24*B20+B25*B21*(1-B8)</f>
        <v>0.09717452249655578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17738000000</v>
      </c>
      <c r="C29" s="8" t="s">
        <v>30</v>
      </c>
    </row>
    <row r="30" spans="1:2" x14ac:dyDescent="0.25">
      <c r="A30" t="s">
        <v>31</v>
      </c>
      <c r="B30" s="11">
        <v>19283000000</v>
      </c>
    </row>
    <row r="31" spans="1:2" x14ac:dyDescent="0.25">
      <c r="A31" t="s">
        <v>32</v>
      </c>
      <c r="B31" s="13">
        <v>338059635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0.08917866741227787</v>
      </c>
      <c r="C5" s="10">
        <f>Assumptions!B6</f>
        <v>0.08917866741227787</v>
      </c>
      <c r="D5" s="10">
        <f>Assumptions!B6</f>
        <v>0.08917866741227787</v>
      </c>
      <c r="E5" s="10">
        <f>Assumptions!B6</f>
        <v>0.08917866741227787</v>
      </c>
      <c r="F5" s="10">
        <f>Assumptions!B6</f>
        <v>0.08917866741227787</v>
      </c>
    </row>
    <row r="6" spans="1:6" x14ac:dyDescent="0.25">
      <c r="A6" t="s">
        <v>43</v>
      </c>
      <c r="B6" s="18">
        <f>Assumptions!B29*(1+B5)</f>
        <v>19319851202.558987</v>
      </c>
      <c r="C6" s="18">
        <f>B6*(1+C5)</f>
        <v>21042769787.406693</v>
      </c>
      <c r="D6" s="18">
        <f>C6*(1+D5)</f>
        <v>22919335955.710964</v>
      </c>
      <c r="E6" s="18">
        <f>D6*(1+E5)</f>
        <v>24963251794.215572</v>
      </c>
      <c r="F6" s="18">
        <f>E6*(1+F5)</f>
        <v>27189441323.50087</v>
      </c>
    </row>
    <row r="7" spans="1:6" x14ac:dyDescent="0.25">
      <c r="A7" t="s">
        <v>5</v>
      </c>
      <c r="B7" s="10">
        <f>Assumptions!B7</f>
        <v>0.11506626869715118</v>
      </c>
      <c r="C7" s="10">
        <f>Assumptions!B7</f>
        <v>0.11506626869715118</v>
      </c>
      <c r="D7" s="10">
        <f>Assumptions!B7</f>
        <v>0.11506626869715118</v>
      </c>
      <c r="E7" s="10">
        <f>Assumptions!B7</f>
        <v>0.11506626869715118</v>
      </c>
      <c r="F7" s="10">
        <f>Assumptions!B7</f>
        <v>0.11506626869715118</v>
      </c>
    </row>
    <row r="8" spans="1:6" x14ac:dyDescent="0.25">
      <c r="A8" t="s">
        <v>44</v>
      </c>
      <c r="B8" s="18">
        <f>B6*B7</f>
        <v>2223063189.662632</v>
      </c>
      <c r="C8" s="18">
        <f>C6*C7</f>
        <v>2421313002.490033</v>
      </c>
      <c r="D8" s="18">
        <f>D6*D7</f>
        <v>2637242469.440116</v>
      </c>
      <c r="E8" s="18">
        <f>E6*E7</f>
        <v>2872428238.5078506</v>
      </c>
      <c r="F8" s="18">
        <f>F6*F7</f>
        <v>3128587561.055377</v>
      </c>
    </row>
    <row r="9" spans="1:6" x14ac:dyDescent="0.25">
      <c r="A9" t="s">
        <v>45</v>
      </c>
      <c r="B9" s="18">
        <f>B8*(1-Assumptions!B8)</f>
        <v>1803072884.1451747</v>
      </c>
      <c r="C9" s="18">
        <f>C8*(1-Assumptions!B8)</f>
        <v>1963868521.2004535</v>
      </c>
      <c r="D9" s="18">
        <f>D8*(1-Assumptions!B8)</f>
        <v>2139003698.894031</v>
      </c>
      <c r="E9" s="18">
        <f>E8*(1-Assumptions!B8)</f>
        <v>2329757198.351334</v>
      </c>
      <c r="F9" s="18">
        <f>F8*(1-Assumptions!B8)</f>
        <v>2537521840.6944675</v>
      </c>
    </row>
    <row r="10" spans="1:6" x14ac:dyDescent="0.25">
      <c r="A10" t="s">
        <v>46</v>
      </c>
      <c r="B10" s="18">
        <f>B6*Assumptions!B9</f>
        <v>2900503041.597937</v>
      </c>
      <c r="C10" s="18">
        <f>C6*Assumptions!B9</f>
        <v>3159166037.6729</v>
      </c>
      <c r="D10" s="18">
        <f>D6*Assumptions!B9</f>
        <v>3440896255.0466957</v>
      </c>
      <c r="E10" s="18">
        <f>E6*Assumptions!B9</f>
        <v>3747750797.775657</v>
      </c>
      <c r="F10" s="18">
        <f>F6*Assumptions!B9</f>
        <v>4081970219.714591</v>
      </c>
    </row>
    <row r="11" spans="1:6" x14ac:dyDescent="0.25">
      <c r="A11" t="s">
        <v>47</v>
      </c>
      <c r="B11" s="18">
        <f>-B6*Assumptions!B10</f>
        <v>-2337541257.0944543</v>
      </c>
      <c r="C11" s="18">
        <f>-C6*Assumptions!B10</f>
        <v>-2546000071.4233584</v>
      </c>
      <c r="D11" s="18">
        <f>-D6*Assumptions!B10</f>
        <v>-2773048965.024458</v>
      </c>
      <c r="E11" s="18">
        <f>-E6*Assumptions!B10</f>
        <v>-3020345776.3943353</v>
      </c>
      <c r="F11" s="18">
        <f>-F6*Assumptions!B10</f>
        <v>-3289696187.857484</v>
      </c>
    </row>
    <row r="12" spans="1:6" x14ac:dyDescent="0.25">
      <c r="A12" t="s">
        <v>48</v>
      </c>
      <c r="B12" s="18">
        <f>-(B6-Assumptions!B29)*Assumptions!B11</f>
        <v>-269141145.30246973</v>
      </c>
      <c r="C12" s="18">
        <f>-(C6-B6)*Assumptions!B11</f>
        <v>-293142793.98635817</v>
      </c>
      <c r="D12" s="18">
        <f>-(D6-C6)*Assumptions!B11</f>
        <v>-319284877.71557343</v>
      </c>
      <c r="E12" s="18">
        <f>-(E6-D6)*Assumptions!B11</f>
        <v>-347758277.6351399</v>
      </c>
      <c r="F12" s="18">
        <f>-(F6-E6)*Assumptions!B11</f>
        <v>-378770897.41623056</v>
      </c>
    </row>
    <row r="13" spans="1:6" x14ac:dyDescent="0.25">
      <c r="A13" s="19" t="s">
        <v>49</v>
      </c>
      <c r="B13" s="20">
        <f>B9+B10+B11+B12</f>
        <v>2096893523.3461876</v>
      </c>
      <c r="C13" s="20">
        <f>C9+C10+C11+C12</f>
        <v>2283891693.4636374</v>
      </c>
      <c r="D13" s="20">
        <f>D9+D10+D11+D12</f>
        <v>2487566111.200696</v>
      </c>
      <c r="E13" s="20">
        <f>E9+E10+E11+E12</f>
        <v>2709403942.097516</v>
      </c>
      <c r="F13" s="20">
        <f>F9+F10+F11+F12</f>
        <v>2951024975.135344</v>
      </c>
    </row>
    <row r="14" spans="1:6" x14ac:dyDescent="0.25">
      <c r="A14" t="s">
        <v>50</v>
      </c>
      <c r="B14" s="21">
        <f>1/(1+Assumptions!$B$26)^(1-0.5*Assumptions!$B$32)</f>
        <v>0.9546894929246281</v>
      </c>
      <c r="C14" s="21">
        <f>1/(1+Assumptions!$B$26)^(2-0.5*Assumptions!$B$32)</f>
        <v>0.8701345805517692</v>
      </c>
      <c r="D14" s="21">
        <f>1/(1+Assumptions!$B$26)^(3-0.5*Assumptions!$B$32)</f>
        <v>0.7930685252988099</v>
      </c>
      <c r="E14" s="21">
        <f>1/(1+Assumptions!$B$26)^(4-0.5*Assumptions!$B$32)</f>
        <v>0.7228280542772989</v>
      </c>
      <c r="F14" s="21">
        <f>1/(1+Assumptions!$B$26)^(5-0.5*Assumptions!$B$32)</f>
        <v>0.658808639333464</v>
      </c>
    </row>
    <row r="15" spans="1:6" x14ac:dyDescent="0.25">
      <c r="A15" s="19" t="s">
        <v>51</v>
      </c>
      <c r="B15" s="20">
        <f>B13*B14</f>
        <v>2001882214.5203087</v>
      </c>
      <c r="C15" s="20">
        <f>C13*C14</f>
        <v>1987293140.7176518</v>
      </c>
      <c r="D15" s="20">
        <f>D13*D14</f>
        <v>1972810387.3932314</v>
      </c>
      <c r="E15" s="20">
        <f>E13*E14</f>
        <v>1958433179.717591</v>
      </c>
      <c r="F15" s="20">
        <f>F13*F14</f>
        <v>1944160748.5079854</v>
      </c>
    </row>
    <row r="17" spans="1:2" x14ac:dyDescent="0.25">
      <c r="A17" s="22" t="s">
        <v>52</v>
      </c>
      <c r="B17" s="23">
        <f>SUM(B15:F15)</f>
        <v>9864579670.85677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2951024975.135344</v>
      </c>
    </row>
    <row r="5" spans="1:2" x14ac:dyDescent="0.25">
      <c r="A5" t="s">
        <v>56</v>
      </c>
      <c r="B5" s="18">
        <f>IF(Assumptions!$B$33=0,B4,B4-Forecast!F11-Forecast!F10-Forecast!F12)</f>
        <v>2537521840.6944675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0.19600634536750777</v>
      </c>
    </row>
    <row r="7" spans="1:2" x14ac:dyDescent="0.25">
      <c r="A7" t="s">
        <v>58</v>
      </c>
      <c r="B7" s="18">
        <f>-MAX(Forecast!F9,0)*B6</f>
        <v>-497370382.28475386</v>
      </c>
    </row>
    <row r="8" spans="1:2" x14ac:dyDescent="0.25">
      <c r="A8" t="s">
        <v>59</v>
      </c>
      <c r="B8" s="18">
        <f>IF(OR(Assumptions!$B$33=0,Assumptions!B12&lt;=0),B5,MAX(B5+B7,0))</f>
        <v>2040151458.4097137</v>
      </c>
    </row>
    <row r="9" spans="1:2" x14ac:dyDescent="0.25">
      <c r="A9" t="s">
        <v>60</v>
      </c>
      <c r="B9" s="18">
        <f>B8*(1+Assumptions!B12)/(Assumptions!B26-Assumptions!B12)</f>
        <v>28973593070.45984</v>
      </c>
    </row>
    <row r="10" spans="1:2" x14ac:dyDescent="0.25">
      <c r="A10" t="s">
        <v>61</v>
      </c>
      <c r="B10" s="18">
        <f>B9/(1+Assumptions!B26)^(5-0.5*Assumptions!B32)</f>
        <v>19088053427.351128</v>
      </c>
    </row>
    <row r="11" spans="1:2" x14ac:dyDescent="0.25">
      <c r="A11" t="s">
        <v>62</v>
      </c>
      <c r="B11" s="18">
        <f>Forecast!B17+B10</f>
        <v>28952633098.207897</v>
      </c>
    </row>
    <row r="12" spans="1:2" x14ac:dyDescent="0.25">
      <c r="A12" t="s">
        <v>63</v>
      </c>
      <c r="B12" s="18">
        <f>-Assumptions!B30</f>
        <v>-19283000000</v>
      </c>
    </row>
    <row r="13" spans="1:2" x14ac:dyDescent="0.25">
      <c r="A13" t="s">
        <v>64</v>
      </c>
      <c r="B13" s="18">
        <f>B11+B12</f>
        <v>9669633098.207897</v>
      </c>
    </row>
    <row r="14" spans="1:2" x14ac:dyDescent="0.25">
      <c r="A14" s="19" t="s">
        <v>65</v>
      </c>
      <c r="B14" s="24">
        <f>B13/Assumptions!B31</f>
        <v>28.60333532043214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7210557780.769968</v>
      </c>
    </row>
    <row r="18" spans="1:2" x14ac:dyDescent="0.25">
      <c r="A18" t="s">
        <v>60</v>
      </c>
      <c r="B18" s="18">
        <f>B17*Assumptions!B13</f>
        <v>94311374754.17888</v>
      </c>
    </row>
    <row r="19" spans="1:2" x14ac:dyDescent="0.25">
      <c r="A19" t="s">
        <v>61</v>
      </c>
      <c r="B19" s="18">
        <f>B18/(1+Assumptions!B26)^(5-0.5*Assumptions!B32)</f>
        <v>62133148475.468994</v>
      </c>
    </row>
    <row r="20" spans="1:2" x14ac:dyDescent="0.25">
      <c r="A20" t="s">
        <v>62</v>
      </c>
      <c r="B20" s="18">
        <f>Forecast!B17+B19</f>
        <v>71997728146.32576</v>
      </c>
    </row>
    <row r="21" spans="1:2" x14ac:dyDescent="0.25">
      <c r="A21" t="s">
        <v>63</v>
      </c>
      <c r="B21" s="18">
        <f>-Assumptions!B30</f>
        <v>-19283000000</v>
      </c>
    </row>
    <row r="22" spans="1:2" x14ac:dyDescent="0.25">
      <c r="A22" t="s">
        <v>64</v>
      </c>
      <c r="B22" s="18">
        <f>B20+B21</f>
        <v>52714728146.32576</v>
      </c>
    </row>
    <row r="23" spans="1:2" x14ac:dyDescent="0.25">
      <c r="A23" s="19" t="s">
        <v>65</v>
      </c>
      <c r="B23" s="25">
        <f>B22/Assumptions!B31</f>
        <v>155.93322209652672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140.67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28.60333532043214</v>
      </c>
    </row>
    <row r="29" spans="1:2" x14ac:dyDescent="0.25">
      <c r="A29" s="19" t="s">
        <v>73</v>
      </c>
      <c r="B29" s="12">
        <f>B28/B26-1</f>
        <v>-0.7966635720449837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0.077175</v>
      </c>
      <c r="B5" s="31">
        <v>50.89763152635531</v>
      </c>
      <c r="C5" s="31">
        <v>54.32247665683192</v>
      </c>
      <c r="D5" s="31">
        <v>58.363375387697424</v>
      </c>
      <c r="E5" s="31">
        <v>63.21621121669082</v>
      </c>
      <c r="F5" s="31">
        <v>69.16975845257123</v>
      </c>
    </row>
    <row r="6" spans="1:6" x14ac:dyDescent="0.25">
      <c r="A6" s="30">
        <v>0.087175</v>
      </c>
      <c r="B6" s="31">
        <v>36.7596446043035</v>
      </c>
      <c r="C6" s="31">
        <v>38.79039770653227</v>
      </c>
      <c r="D6" s="31">
        <v>41.115279458987025</v>
      </c>
      <c r="E6" s="31">
        <v>43.81145522683423</v>
      </c>
      <c r="F6" s="31">
        <v>46.98566981564909</v>
      </c>
    </row>
    <row r="7" spans="1:6" x14ac:dyDescent="0.25">
      <c r="A7" s="30">
        <v>0.097175</v>
      </c>
      <c r="B7" s="31">
        <v>26.03676839770785</v>
      </c>
      <c r="C7" s="31">
        <v>27.249228961954817</v>
      </c>
      <c r="D7" s="32">
        <v>28.602819619106377</v>
      </c>
      <c r="E7" s="31">
        <v>30.129054345992746</v>
      </c>
      <c r="F7" s="31">
        <v>31.869584305396767</v>
      </c>
    </row>
    <row r="8" spans="1:6" x14ac:dyDescent="0.25">
      <c r="A8" s="30">
        <v>0.107175</v>
      </c>
      <c r="B8" s="31">
        <v>17.61892772712348</v>
      </c>
      <c r="C8" s="31">
        <v>18.327405666244708</v>
      </c>
      <c r="D8" s="31">
        <v>19.09945272277237</v>
      </c>
      <c r="E8" s="31">
        <v>19.947424410293717</v>
      </c>
      <c r="F8" s="31">
        <v>20.88710000785144</v>
      </c>
    </row>
    <row r="9" spans="1:6" x14ac:dyDescent="0.25">
      <c r="A9" s="30">
        <v>0.117175</v>
      </c>
      <c r="B9" s="31">
        <v>10.830534746829562</v>
      </c>
      <c r="C9" s="31">
        <v>11.217823580150515</v>
      </c>
      <c r="D9" s="31">
        <v>11.627739986567736</v>
      </c>
      <c r="E9" s="31">
        <v>12.064177440086912</v>
      </c>
      <c r="F9" s="31">
        <v>12.531977020191196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17738000000</v>
      </c>
      <c r="C5" s="18">
        <v>17224000000</v>
      </c>
      <c r="D5" s="18">
        <v>14779000000</v>
      </c>
      <c r="E5" s="18">
        <v>13728000000</v>
      </c>
      <c r="F5" s="8" t="s">
        <v>84</v>
      </c>
    </row>
    <row r="6" spans="1:6" x14ac:dyDescent="0.25">
      <c r="A6" t="s">
        <v>44</v>
      </c>
      <c r="B6" s="18">
        <v>2134000000</v>
      </c>
      <c r="C6" s="18">
        <v>4081000000</v>
      </c>
      <c r="D6" s="18">
        <v>2710000000</v>
      </c>
      <c r="E6" s="18">
        <v>-1103000000</v>
      </c>
      <c r="F6" s="8" t="s">
        <v>85</v>
      </c>
    </row>
    <row r="7" spans="1:6" x14ac:dyDescent="0.25">
      <c r="A7" t="s">
        <v>86</v>
      </c>
      <c r="B7" s="18">
        <v>2950000000</v>
      </c>
      <c r="C7" s="18">
        <v>2631000000</v>
      </c>
      <c r="D7" s="18">
        <v>1956000000</v>
      </c>
      <c r="E7" s="18">
        <v>2047000000</v>
      </c>
      <c r="F7" s="8" t="s">
        <v>87</v>
      </c>
    </row>
    <row r="8" spans="1:6" x14ac:dyDescent="0.25">
      <c r="A8" t="s">
        <v>88</v>
      </c>
      <c r="B8" s="18">
        <v>2752000000</v>
      </c>
      <c r="C8" s="18">
        <v>2078000000</v>
      </c>
      <c r="D8" s="18">
        <v>1676000000</v>
      </c>
      <c r="E8" s="18">
        <v>1301000000</v>
      </c>
      <c r="F8" s="8" t="s">
        <v>89</v>
      </c>
    </row>
    <row r="9" spans="1:6" x14ac:dyDescent="0.25">
      <c r="A9" t="s">
        <v>90</v>
      </c>
      <c r="B9" s="18">
        <v>1088000000</v>
      </c>
      <c r="C9" s="18">
        <v>416000000</v>
      </c>
      <c r="D9" s="18">
        <v>-1589000000</v>
      </c>
      <c r="E9" s="18">
        <v>2578000000</v>
      </c>
      <c r="F9" s="8" t="s">
        <v>91</v>
      </c>
    </row>
    <row r="10" spans="1:6" x14ac:dyDescent="0.25">
      <c r="A10" t="s">
        <v>92</v>
      </c>
      <c r="B10" s="18">
        <v>20068000000</v>
      </c>
      <c r="C10" s="18">
        <v>17048000000</v>
      </c>
      <c r="D10" s="18">
        <v>14677000000</v>
      </c>
      <c r="E10" s="18">
        <v>13336000000</v>
      </c>
      <c r="F10" s="8" t="s">
        <v>93</v>
      </c>
    </row>
    <row r="11" spans="1:6" x14ac:dyDescent="0.25">
      <c r="A11" t="s">
        <v>94</v>
      </c>
      <c r="B11" s="18">
        <v>785000000</v>
      </c>
      <c r="C11" s="18">
        <v>1188000000</v>
      </c>
      <c r="D11" s="18">
        <v>3485000000</v>
      </c>
      <c r="E11" s="18">
        <v>455000000</v>
      </c>
      <c r="F11" s="8" t="s">
        <v>95</v>
      </c>
    </row>
    <row r="12" spans="1:6" x14ac:dyDescent="0.25">
      <c r="A12" t="s">
        <v>32</v>
      </c>
      <c r="B12" s="34">
        <v>338059635</v>
      </c>
      <c r="C12" s="34">
        <v>339754307</v>
      </c>
      <c r="D12" s="34">
        <v>351457016</v>
      </c>
      <c r="E12" s="34">
        <v>389754870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2026-09-19T00:06:16Z</dcterms:modified>
</cp:coreProperties>
</file>