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<sst xmlns="http://schemas.openxmlformats.org/spreadsheetml/2006/main" count="123" uniqueCount="110">
  <si>
    <t>Ventas, Inc. (VTR)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</si>
  <si>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</si>
  <si>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</si>
  <si>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</si>
  <si>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</si>
  <si>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</si>
  <si>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</si>
  <si>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</si>
  <si>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</si>
  <si>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</si>
  <si>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</si>
  <si>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</si>
  <si>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</si>
  <si>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</si>
  <si>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</si>
  <si>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</si>
  <si>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</si>
  <si>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</si>
  <si>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</si>
  <si>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</si>
  <si>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</si>
  <si>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</si>
  <si>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</si>
  <si>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</si>
  <si>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B- rating at 1.4x interest cover, capped at 200bp because one year's cover is too noisy to charge more.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</si>
  <si>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</si>
  <si>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</si>
  <si>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</si>
  <si>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</si>
  <si>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</si>
  <si>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</si>
  <si>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</si>
  <si>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</si>
  <si>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</si>
  <si>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</si>
  <si>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</si>
  <si>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</si>
  <si>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</si>
  <si>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</si>
  <si>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</si>
  <si>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</si>
  <si>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</si>
  <si>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</si>
  <si>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</si>
  <si>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</si>
  <si>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</si>
  <si>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</si>
  <si>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</si>
  <si>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</si>
  <si>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</si>
  <si>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</si>
  <si>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</si>
  <si>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</si>
  <si>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</si>
  <si>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</si>
  <si>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</si>
  <si>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</si>
  <si>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</si>
  <si>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</si>
  <si>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</si>
  <si>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</si>
  <si>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</si>
  <si>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</si>
  <si>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</si>
  <si>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</si>
  <si>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</si>
  <si>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</si>
  <si>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</si>
  <si>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</si>
  <si>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</si>
  <si>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</si>
  <si>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</si>
  <si>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</si>
  <si>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</si>
  <si>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</si>
  <si>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</si>
  <si>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</si>
  <si>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</si>
  <si>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</si>
  <si>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</si>
  <si>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</si>
  <si>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</si>
  <si>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</si>
  <si>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</si>
  <si>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</si>
  <si>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</si>
  <si>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</si>
  <si>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</si>
  <si>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</si>
  <si>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</si>
  <si>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</si>
  <si>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</si>
  <si>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</si>
  <si>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</si>
  <si>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</si>
  <si>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</si>
  <si>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</si>
  <si>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</si>
  <si>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</si>
  <si>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</si>
  <si>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</si>
  <si>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</si>
  <si>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</si>
  <si>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</si>
  <si>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</si>
  <si>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7.7%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</si>
  <si>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Consensus rests on as few as 1 analyst estimate(s).</t>
  </si>
  <si>
    <t>Adjusted: Reported capital expenditure averages 12.15% of revenue against depreciation of 27.26%. A business cannot depreciate more than it invests indefinitely. Capex has been set to 27.26% of revenue so the forecast is not handed free growth. Override it if the reported figure is right.</t>
  </si>
  <si>
    <t>Current EV/EBITDA of 25.3x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</si>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</sst>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0.218379219675076</v>
      </c>
    </row>
    <row r="7" spans="1:2" x14ac:dyDescent="0.25">
      <c r="A7" t="s">
        <v>4</v>
      </c>
      <c r="B7" s="5">
        <v>0.12372179882544884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0.2775827428620647</v>
      </c>
    </row>
    <row r="10" spans="1:3" x14ac:dyDescent="0.25">
      <c r="A10" t="s">
        <v>7</v>
      </c>
      <c r="B10" s="5">
        <v>0.2726366708239242</v>
      </c>
      <c r="C10" s="6" t="s">
        <v>8</v>
      </c>
    </row>
    <row r="11" spans="1:2" x14ac:dyDescent="0.25">
      <c r="A11" t="s">
        <v>9</v>
      </c>
      <c r="B11" s="5">
        <v>-0.19063665911324346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0.0771975946302108</v>
      </c>
      <c r="C14" s="6" t="s">
        <v>13</v>
      </c>
    </row>
    <row r="15" spans="1:3" x14ac:dyDescent="0.25">
      <c r="A15" t="s">
        <v>14</v>
      </c>
      <c r="B15" s="5">
        <v>0.2726366708239242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0.82647</v>
      </c>
      <c r="C19" s="6" t="s">
        <v>21</v>
      </c>
    </row>
    <row r="20" spans="1:2" x14ac:dyDescent="0.25">
      <c r="A20" t="s">
        <v>22</v>
      </c>
      <c r="B20" s="9">
        <f>B17+B19*B18</f>
        <v>0.083899681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44843937792</v>
      </c>
    </row>
    <row r="23" spans="1:2" x14ac:dyDescent="0.25">
      <c r="A23" t="s">
        <v>26</v>
      </c>
      <c r="B23" s="10">
        <v>13219618000</v>
      </c>
    </row>
    <row r="24" spans="1:2" x14ac:dyDescent="0.25">
      <c r="A24" t="s">
        <v>27</v>
      </c>
      <c r="B24" s="9">
        <f>B22/(B22+B23)</f>
        <v>0.7723250355635057</v>
      </c>
    </row>
    <row r="25" spans="1:2" x14ac:dyDescent="0.25">
      <c r="A25" t="s">
        <v>28</v>
      </c>
      <c r="B25" s="9">
        <f>1-B24</f>
        <v>0.22767496443649426</v>
      </c>
    </row>
    <row r="26" spans="1:2" x14ac:dyDescent="0.25">
      <c r="A26" t="s">
        <v>29</v>
      </c>
      <c r="B26" s="11">
        <f>B24*B20+B25*B21*(1-B8)</f>
        <v>0.0771975946302108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5833980000</v>
      </c>
      <c r="C29" s="6" t="s">
        <v>32</v>
      </c>
    </row>
    <row r="30" spans="1:2" x14ac:dyDescent="0.25">
      <c r="A30" t="s">
        <v>33</v>
      </c>
      <c r="B30" s="10">
        <v>12478551000</v>
      </c>
    </row>
    <row r="31" spans="1:2" x14ac:dyDescent="0.25">
      <c r="A31" t="s">
        <v>34</v>
      </c>
      <c r="B31" s="12">
        <v>462615000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0.218379219675076</v>
      </c>
      <c r="C5" s="5">
        <v>0.10975886325267314</v>
      </c>
      <c r="D5" s="5">
        <v>0.099164005346089</v>
      </c>
      <c r="E5" s="5">
        <v>0.08856914743950486</v>
      </c>
      <c r="F5" s="5">
        <v>0.07797428953292071</v>
      </c>
      <c r="G5" s="5">
        <v>0.06737943162633657</v>
      </c>
      <c r="H5" s="5">
        <v>0.05678457371975243</v>
      </c>
      <c r="I5" s="5">
        <v>0.046189715813168275</v>
      </c>
      <c r="J5" s="5">
        <v>0.035594857906584135</v>
      </c>
      <c r="K5" s="5">
        <v>0.024999999999999994</v>
      </c>
    </row>
    <row r="6" spans="1:11" x14ac:dyDescent="0.25">
      <c r="A6" t="s">
        <v>50</v>
      </c>
      <c r="B6" s="18">
        <f>Assumptions!B29*(1+B5)</f>
        <v>7108000000</v>
      </c>
      <c r="C6" s="18">
        <f>B6*(1+C5)</f>
        <v>7888166000.000001</v>
      </c>
      <c r="D6" s="18">
        <f>C6*(1+D5)</f>
        <v>8670388135.394838</v>
      </c>
      <c r="E6" s="18">
        <f>D6*(1+E5)</f>
        <v>9438317020.516357</v>
      </c>
      <c r="F6" s="18">
        <f>E6*(1+F5)</f>
        <v>10174263084.577593</v>
      </c>
      <c r="G6" s="18">
        <f>F6*(1+G5)</f>
        <v>10859799148.433249</v>
      </c>
      <c r="H6" s="18">
        <f>G6*(1+H5)</f>
        <v>11476468213.759163</v>
      </c>
      <c r="I6" s="18">
        <f>H6*(1+I5)</f>
        <v>12006563019.091558</v>
      </c>
      <c r="J6" s="18">
        <f>I6*(1+J5)</f>
        <v>12433934923.70257</v>
      </c>
      <c r="K6" s="18">
        <f>J6*(1+K5)</f>
        <v>12744783296.795134</v>
      </c>
    </row>
    <row r="7" spans="1:11" x14ac:dyDescent="0.25">
      <c r="A7" t="s">
        <v>4</v>
      </c>
      <c r="B7" s="9">
        <f>Assumptions!B7</f>
        <v>0.12372179882544884</v>
      </c>
      <c r="C7" s="9">
        <f>Assumptions!B7</f>
        <v>0.12372179882544884</v>
      </c>
      <c r="D7" s="9">
        <f>Assumptions!B7</f>
        <v>0.12372179882544884</v>
      </c>
      <c r="E7" s="9">
        <f>Assumptions!B7</f>
        <v>0.12372179882544884</v>
      </c>
      <c r="F7" s="9">
        <f>Assumptions!B7</f>
        <v>0.12372179882544884</v>
      </c>
      <c r="G7" s="9">
        <f>Assumptions!B7</f>
        <v>0.12372179882544884</v>
      </c>
      <c r="H7" s="9">
        <f>Assumptions!B7</f>
        <v>0.12372179882544884</v>
      </c>
      <c r="I7" s="9">
        <f>Assumptions!B7</f>
        <v>0.12372179882544884</v>
      </c>
      <c r="J7" s="9">
        <f>Assumptions!B7</f>
        <v>0.12372179882544884</v>
      </c>
      <c r="K7" s="9">
        <f>Assumptions!B7</f>
        <v>0.12372179882544884</v>
      </c>
    </row>
    <row r="8" spans="1:11" x14ac:dyDescent="0.25">
      <c r="A8" t="s">
        <v>51</v>
      </c>
      <c r="B8" s="18">
        <f>B6*B7</f>
        <v>879414546.0512904</v>
      </c>
      <c r="C8" s="18">
        <f>C6*C7</f>
        <v>975938086.9537456</v>
      </c>
      <c r="D8" s="18">
        <f>D6*D7</f>
        <v>1072716016.6258787</v>
      </c>
      <c r="E8" s="18">
        <f>E6*E7</f>
        <v>1167725559.6631346</v>
      </c>
      <c r="F8" s="18">
        <f>F6*F7</f>
        <v>1258778130.5472996</v>
      </c>
      <c r="G8" s="18">
        <f>G6*G7</f>
        <v>1343593885.527239</v>
      </c>
      <c r="H8" s="18">
        <f>H6*H7</f>
        <v>1419889291.5693693</v>
      </c>
      <c r="I8" s="18">
        <f>I6*I7</f>
        <v>1485473574.4331195</v>
      </c>
      <c r="J8" s="18">
        <f>J6*J7</f>
        <v>1538348795.239052</v>
      </c>
      <c r="K8" s="18">
        <f>K6*K7</f>
        <v>1576807515.1200283</v>
      </c>
    </row>
    <row r="9" spans="1:11" x14ac:dyDescent="0.25">
      <c r="A9" t="s">
        <v>52</v>
      </c>
      <c r="B9" s="18">
        <f>B8*(1-Assumptions!B8)</f>
        <v>694737491.3805194</v>
      </c>
      <c r="C9" s="18">
        <f>C8*(1-Assumptions!B8)</f>
        <v>770991088.693459</v>
      </c>
      <c r="D9" s="18">
        <f>D8*(1-Assumptions!B8)</f>
        <v>847445653.1344442</v>
      </c>
      <c r="E9" s="18">
        <f>E8*(1-Assumptions!B8)</f>
        <v>922503192.1338763</v>
      </c>
      <c r="F9" s="18">
        <f>F8*(1-Assumptions!B8)</f>
        <v>994434723.1323668</v>
      </c>
      <c r="G9" s="18">
        <f>G8*(1-Assumptions!B8)</f>
        <v>1061439169.5665189</v>
      </c>
      <c r="H9" s="18">
        <f>H8*(1-Assumptions!B8)</f>
        <v>1121712540.3398018</v>
      </c>
      <c r="I9" s="18">
        <f>I8*(1-Assumptions!B8)</f>
        <v>1173524123.8021646</v>
      </c>
      <c r="J9" s="18">
        <f>J8*(1-Assumptions!B8)</f>
        <v>1215295548.238851</v>
      </c>
      <c r="K9" s="18">
        <f>K8*(1-Assumptions!B8)</f>
        <v>1245677936.9448223</v>
      </c>
    </row>
    <row r="10" spans="1:11" x14ac:dyDescent="0.25">
      <c r="A10" t="s">
        <v>53</v>
      </c>
      <c r="B10" s="18">
        <f>B6*Assumptions!B9</f>
        <v>1973058136.2635558</v>
      </c>
      <c r="C10" s="18">
        <f>C6*Assumptions!B9</f>
        <v>2189618754.4312816</v>
      </c>
      <c r="D10" s="18">
        <f>D6*Assumptions!B9</f>
        <v>2406750120.301602</v>
      </c>
      <c r="E10" s="18">
        <f>E6*Assumptions!B9</f>
        <v>2619913926.5566406</v>
      </c>
      <c r="F10" s="18">
        <f>F6*Assumptions!B9</f>
        <v>2824199853.617299</v>
      </c>
      <c r="G10" s="18">
        <f>G6*Assumptions!B9</f>
        <v>3014492834.5532155</v>
      </c>
      <c r="H10" s="18">
        <f>H6*Assumptions!B9</f>
        <v>3185669525.1445684</v>
      </c>
      <c r="I10" s="18">
        <f>I6*Assumptions!B9</f>
        <v>3332814695.185667</v>
      </c>
      <c r="J10" s="18">
        <f>J6*Assumptions!B9</f>
        <v>3451445760.6897764</v>
      </c>
      <c r="K10" s="18">
        <f>K6*Assumptions!B9</f>
        <v>3537731904.7070208</v>
      </c>
    </row>
    <row r="11" spans="1:11" x14ac:dyDescent="0.25">
      <c r="A11" t="s">
        <v>54</v>
      </c>
      <c r="B11" s="18">
        <f>-B6*B19</f>
        <v>-1937901456.216453</v>
      </c>
      <c r="C11" s="18">
        <f>-C6*C19</f>
        <v>-2179454722.858055</v>
      </c>
      <c r="D11" s="18">
        <f>-D6*D19</f>
        <v>-2427290609.30892</v>
      </c>
      <c r="E11" s="18">
        <f>-E6*E19</f>
        <v>-2676794838.417811</v>
      </c>
      <c r="F11" s="18">
        <f>-F6*F19</f>
        <v>-2922728947.069777</v>
      </c>
      <c r="G11" s="18">
        <f>-G6*G19</f>
        <v>-3159381081.490143</v>
      </c>
      <c r="H11" s="18">
        <f>-H6*H19</f>
        <v>-3380761009.9817963</v>
      </c>
      <c r="I11" s="18">
        <f>-I6*I19</f>
        <v>-3580832072.048817</v>
      </c>
      <c r="J11" s="18">
        <f>-J6*J19</f>
        <v>-3753769089.126611</v>
      </c>
      <c r="K11" s="18">
        <f>-K6*K19</f>
        <v>-3894228069.8478007</v>
      </c>
    </row>
    <row r="12" spans="1:11" x14ac:dyDescent="0.25">
      <c r="A12" t="s">
        <v>55</v>
      </c>
      <c r="B12" s="18">
        <f>-(B6-Assumptions!B29)*Assumptions!B11</f>
        <v>242874916.4434544</v>
      </c>
      <c r="C12" s="18">
        <f>-(C6-B6)*Assumptions!B11</f>
        <v>148728239.79374287</v>
      </c>
      <c r="D12" s="18">
        <f>-(D6-C6)*Assumptions!B11</f>
        <v>149120214.57609898</v>
      </c>
      <c r="E12" s="18">
        <f>-(E6-D6)*Assumptions!B11</f>
        <v>146395397.09612414</v>
      </c>
      <c r="F12" s="18">
        <f>-(F6-E6)*Assumptions!B11</f>
        <v>140298298.94017497</v>
      </c>
      <c r="G12" s="18">
        <f>-(G6-F6)*Assumptions!B11</f>
        <v>130688304.91508533</v>
      </c>
      <c r="H12" s="18">
        <f>-(H6-G6)*Assumptions!B11</f>
        <v>117559730.3922188</v>
      </c>
      <c r="I12" s="18">
        <f>-(I6-H6)*Assumptions!B11</f>
        <v>101055502.70185304</v>
      </c>
      <c r="J12" s="18">
        <f>-(J6-I6)*Assumptions!B11</f>
        <v>81472752.093907</v>
      </c>
      <c r="K12" s="18">
        <f>-(K6-J6)*Assumptions!B11</f>
        <v>59259095.337153375</v>
      </c>
    </row>
    <row r="13" spans="1:11" x14ac:dyDescent="0.25">
      <c r="A13" s="19" t="s">
        <v>56</v>
      </c>
      <c r="B13" s="20">
        <f>B9+B10+B11+B12</f>
        <v>972769087.8710767</v>
      </c>
      <c r="C13" s="20">
        <f>C9+C10+C11+C12</f>
        <v>929883360.0604284</v>
      </c>
      <c r="D13" s="20">
        <f>D9+D10+D11+D12</f>
        <v>976025378.7032251</v>
      </c>
      <c r="E13" s="20">
        <f>E9+E10+E11+E12</f>
        <v>1012017677.3688302</v>
      </c>
      <c r="F13" s="20">
        <f>F9+F10+F11+F12</f>
        <v>1036203928.6200637</v>
      </c>
      <c r="G13" s="20">
        <f>G9+G10+G11+G12</f>
        <v>1047239227.5446768</v>
      </c>
      <c r="H13" s="20">
        <f>H9+H10+H11+H12</f>
        <v>1044180785.8947928</v>
      </c>
      <c r="I13" s="20">
        <f>I9+I10+I11+I12</f>
        <v>1026562249.640867</v>
      </c>
      <c r="J13" s="20">
        <f>J9+J10+J11+J12</f>
        <v>994444971.8959228</v>
      </c>
      <c r="K13" s="20">
        <f>K9+K10+K11+K12</f>
        <v>948440867.1411958</v>
      </c>
    </row>
    <row r="14" spans="1:11" x14ac:dyDescent="0.25">
      <c r="A14" t="s">
        <v>57</v>
      </c>
      <c r="B14" s="21">
        <f>1/(1+Assumptions!$B$26)^(1-0.5*Assumptions!$B$32)</f>
        <v>0.9635013167614707</v>
      </c>
      <c r="C14" s="21">
        <f>1/(1+Assumptions!$B$26)^(2-0.5*Assumptions!$B$32)</f>
        <v>0.8944517900564282</v>
      </c>
      <c r="D14" s="21">
        <f>1/(1+Assumptions!$B$26)^(3-0.5*Assumptions!$B$32)</f>
        <v>0.8303507123625568</v>
      </c>
      <c r="E14" s="21">
        <f>1/(1+Assumptions!$B$26)^(4-0.5*Assumptions!$B$32)</f>
        <v>0.770843452029436</v>
      </c>
      <c r="F14" s="21">
        <f>1/(1+Assumptions!$B$26)^(5-0.5*Assumptions!$B$32)</f>
        <v>0.7156007921592672</v>
      </c>
      <c r="G14" s="21">
        <f>1/(1+Assumptions!$B$26)^(6-0.5*Assumptions!$B$32)</f>
        <v>0.6643171092532233</v>
      </c>
      <c r="H14" s="21">
        <f>1/(1+Assumptions!$B$26)^(7-0.5*Assumptions!$B$32)</f>
        <v>0.6167086823854964</v>
      </c>
      <c r="I14" s="21">
        <f>1/(1+Assumptions!$B$26)^(8-0.5*Assumptions!$B$32)</f>
        <v>0.5725121235507448</v>
      </c>
      <c r="J14" s="21">
        <f>1/(1+Assumptions!$B$26)^(9-0.5*Assumptions!$B$32)</f>
        <v>0.531482920501026</v>
      </c>
      <c r="K14" s="21">
        <f>1/(1+Assumptions!$B$26)^(10-0.5*Assumptions!$B$32)</f>
        <v>0.49339408401062923</v>
      </c>
    </row>
    <row r="15" spans="1:11" x14ac:dyDescent="0.25">
      <c r="A15" s="19" t="s">
        <v>58</v>
      </c>
      <c r="B15" s="20">
        <f>B13*B14</f>
        <v>937264297.0686371</v>
      </c>
      <c r="C15" s="20">
        <f>C13*C14</f>
        <v>831735835.9497362</v>
      </c>
      <c r="D15" s="20">
        <f>D13*D14</f>
        <v>810443368.4901572</v>
      </c>
      <c r="E15" s="20">
        <f>E13*E14</f>
        <v>780107199.9378011</v>
      </c>
      <c r="F15" s="20">
        <f>F13*F14</f>
        <v>741508352.1590623</v>
      </c>
      <c r="G15" s="20">
        <f>G13*G14</f>
        <v>695698936.3390582</v>
      </c>
      <c r="H15" s="20">
        <f>H13*H14</f>
        <v>643955356.6414298</v>
      </c>
      <c r="I15" s="20">
        <f>I13*I14</f>
        <v>587719333.4989226</v>
      </c>
      <c r="J15" s="20">
        <f>J13*J14</f>
        <v>528530517.94080573</v>
      </c>
      <c r="K15" s="20">
        <f>K13*K14</f>
        <v>467955112.88137716</v>
      </c>
    </row>
    <row r="17" spans="1:2" x14ac:dyDescent="0.25">
      <c r="A17" s="22" t="s">
        <v>59</v>
      </c>
      <c r="B17" s="23">
        <f>SUM(B15:K15)</f>
        <v>7024918310.906987</v>
      </c>
    </row>
    <row r="19" spans="1:11" x14ac:dyDescent="0.25">
      <c r="A19" t="s">
        <v>7</v>
      </c>
      <c r="B19" s="9">
        <f>Assumptions!$B$10+($B$20-Assumptions!$B$10)*0/9</f>
        <v>0.2726366708239242</v>
      </c>
      <c r="C19" s="9">
        <f>Assumptions!$B$10+($B$20-Assumptions!$B$10)*1/9</f>
        <v>0.2762942264219661</v>
      </c>
      <c r="D19" s="9">
        <f>Assumptions!$B$10+($B$20-Assumptions!$B$10)*2/9</f>
        <v>0.27995178202000803</v>
      </c>
      <c r="E19" s="9">
        <f>Assumptions!$B$10+($B$20-Assumptions!$B$10)*3/9</f>
        <v>0.28360933761804996</v>
      </c>
      <c r="F19" s="9">
        <f>Assumptions!$B$10+($B$20-Assumptions!$B$10)*4/9</f>
        <v>0.2872668932160919</v>
      </c>
      <c r="G19" s="9">
        <f>Assumptions!$B$10+($B$20-Assumptions!$B$10)*5/9</f>
        <v>0.2909244488141338</v>
      </c>
      <c r="H19" s="9">
        <f>Assumptions!$B$10+($B$20-Assumptions!$B$10)*6/9</f>
        <v>0.29458200441217575</v>
      </c>
      <c r="I19" s="9">
        <f>Assumptions!$B$10+($B$20-Assumptions!$B$10)*7/9</f>
        <v>0.2982395600102177</v>
      </c>
      <c r="J19" s="9">
        <f>Assumptions!$B$10+($B$20-Assumptions!$B$10)*8/9</f>
        <v>0.3018971156082596</v>
      </c>
      <c r="K19" s="9">
        <f>Assumptions!$B$10+($B$20-Assumptions!$B$10)*9/9</f>
        <v>0.30555467120630153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0.30555467120630153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948440867.1411958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1295476863.819009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0.3238442871148269</v>
      </c>
    </row>
    <row r="7" spans="1:2" x14ac:dyDescent="0.25">
      <c r="A7" t="s">
        <v>66</v>
      </c>
      <c r="B7" s="18">
        <f>-MAX(B5,0)*B6</f>
        <v>-419532781.43721867</v>
      </c>
    </row>
    <row r="8" spans="1:2" x14ac:dyDescent="0.25">
      <c r="A8" t="s">
        <v>67</v>
      </c>
      <c r="B8" s="18">
        <f>IF(OR(Assumptions!$B$33=0,Assumptions!B12&lt;=0),B5,MAX(B5+B7,0))</f>
        <v>875944082.3817904</v>
      </c>
    </row>
    <row r="9" spans="1:2" x14ac:dyDescent="0.25">
      <c r="A9" t="s">
        <v>68</v>
      </c>
      <c r="B9" s="18">
        <f>B8*(1+Assumptions!B12)/(Assumptions!B26-Assumptions!B12)</f>
        <v>17200844038.92596</v>
      </c>
    </row>
    <row r="10" spans="1:2" x14ac:dyDescent="0.25">
      <c r="A10" t="s">
        <v>69</v>
      </c>
      <c r="B10" s="18">
        <f>B9/(1+Assumptions!B26)^(10-0.5*Assumptions!B32)</f>
        <v>8486794688.795567</v>
      </c>
    </row>
    <row r="11" spans="1:2" x14ac:dyDescent="0.25">
      <c r="A11" t="s">
        <v>70</v>
      </c>
      <c r="B11" s="18">
        <f>Forecast!B17+B10</f>
        <v>15511712999.702553</v>
      </c>
    </row>
    <row r="12" spans="1:2" x14ac:dyDescent="0.25">
      <c r="A12" t="s">
        <v>71</v>
      </c>
      <c r="B12" s="18">
        <f>-Assumptions!B30</f>
        <v>-12478551000</v>
      </c>
    </row>
    <row r="13" spans="1:2" x14ac:dyDescent="0.25">
      <c r="A13" t="s">
        <v>72</v>
      </c>
      <c r="B13" s="18">
        <f>B11+B12</f>
        <v>3033161999.702553</v>
      </c>
    </row>
    <row r="14" spans="1:2" x14ac:dyDescent="0.25">
      <c r="A14" s="19" t="s">
        <v>73</v>
      </c>
      <c r="B14" s="24">
        <f>B13/Assumptions!B31</f>
        <v>6.556557828221205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5114539419.827049</v>
      </c>
    </row>
    <row r="18" spans="1:2" x14ac:dyDescent="0.25">
      <c r="A18" t="s">
        <v>68</v>
      </c>
      <c r="B18" s="18">
        <f>B17*Assumptions!B13</f>
        <v>102290788396.54099</v>
      </c>
    </row>
    <row r="19" spans="1:2" x14ac:dyDescent="0.25">
      <c r="A19" t="s">
        <v>69</v>
      </c>
      <c r="B19" s="18">
        <f>B18/(1+Assumptions!B26)^(10-0.5*Assumptions!B32)</f>
        <v>50469669843.636444</v>
      </c>
    </row>
    <row r="20" spans="1:2" x14ac:dyDescent="0.25">
      <c r="A20" t="s">
        <v>70</v>
      </c>
      <c r="B20" s="18">
        <f>Forecast!B17+B19</f>
        <v>57494588154.543434</v>
      </c>
    </row>
    <row r="21" spans="1:2" x14ac:dyDescent="0.25">
      <c r="A21" t="s">
        <v>71</v>
      </c>
      <c r="B21" s="18">
        <f>-Assumptions!B30</f>
        <v>-12478551000</v>
      </c>
    </row>
    <row r="22" spans="1:2" x14ac:dyDescent="0.25">
      <c r="A22" t="s">
        <v>72</v>
      </c>
      <c r="B22" s="18">
        <f>B20+B21</f>
        <v>45016037154.543434</v>
      </c>
    </row>
    <row r="23" spans="1:2" x14ac:dyDescent="0.25">
      <c r="A23" s="19" t="s">
        <v>73</v>
      </c>
      <c r="B23" s="25">
        <f>B22/Assumptions!B31</f>
        <v>97.30777677884079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84.8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6.556557828221205</v>
      </c>
    </row>
    <row r="29" spans="1:2" x14ac:dyDescent="0.25">
      <c r="A29" s="19" t="s">
        <v>81</v>
      </c>
      <c r="B29" s="11">
        <f>B28/B26-1</f>
        <v>-0.9226821010822971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0.057198</v>
      </c>
      <c r="B5" s="31">
        <v>19.373643275428726</v>
      </c>
      <c r="C5" s="31">
        <v>18.770386626805113</v>
      </c>
      <c r="D5" s="31">
        <v>18.167129978181475</v>
      </c>
      <c r="E5" s="31">
        <v>17.563873329557858</v>
      </c>
      <c r="F5" s="31">
        <v>16.96061668093422</v>
      </c>
    </row>
    <row r="6" spans="1:6" x14ac:dyDescent="0.25">
      <c r="A6" s="30">
        <v>0.067198</v>
      </c>
      <c r="B6" s="31">
        <v>12.468413506046103</v>
      </c>
      <c r="C6" s="31">
        <v>11.983869377528078</v>
      </c>
      <c r="D6" s="31">
        <v>11.499325249010045</v>
      </c>
      <c r="E6" s="31">
        <v>11.01478112049202</v>
      </c>
      <c r="F6" s="31">
        <v>10.530236991973986</v>
      </c>
    </row>
    <row r="7" spans="1:6" x14ac:dyDescent="0.25">
      <c r="A7" s="30">
        <v>0.077198</v>
      </c>
      <c r="B7" s="31">
        <v>7.35309469989929</v>
      </c>
      <c r="C7" s="31">
        <v>6.954739033502776</v>
      </c>
      <c r="D7" s="32">
        <v>6.556383367106253</v>
      </c>
      <c r="E7" s="31">
        <v>6.158027700709739</v>
      </c>
      <c r="F7" s="31">
        <v>5.759672034313221</v>
      </c>
    </row>
    <row r="8" spans="1:6" x14ac:dyDescent="0.25">
      <c r="A8" s="30">
        <v>0.087198</v>
      </c>
      <c r="B8" s="31">
        <v>3.412171096993109</v>
      </c>
      <c r="C8" s="31">
        <v>3.078797201174118</v>
      </c>
      <c r="D8" s="31">
        <v>2.745423305355123</v>
      </c>
      <c r="E8" s="31">
        <v>2.4120494095361367</v>
      </c>
      <c r="F8" s="31">
        <v>2.0786755137171333</v>
      </c>
    </row>
    <row r="9" spans="1:6" x14ac:dyDescent="0.25">
      <c r="A9" s="30">
        <v>0.097198</v>
      </c>
      <c r="B9" s="31">
        <v>0.2833816427810834</v>
      </c>
      <c r="C9" s="31">
        <v>0.0004322586119848161</v>
      </c>
      <c r="D9" s="31">
        <v>-0.2825171255571138</v>
      </c>
      <c r="E9" s="31">
        <v>-0.5654665097262042</v>
      </c>
      <c r="F9" s="31">
        <v>-0.8484158938953027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5833980000</v>
      </c>
      <c r="C5" s="18">
        <v>4924266000</v>
      </c>
      <c r="D5" s="18">
        <v>4497827000</v>
      </c>
      <c r="E5" s="18">
        <v>4129193000</v>
      </c>
      <c r="F5" s="6" t="s">
        <v>91</v>
      </c>
    </row>
    <row r="6" spans="1:6" x14ac:dyDescent="0.25">
      <c r="A6" t="s">
        <v>51</v>
      </c>
      <c r="B6" s="18">
        <v>857524000</v>
      </c>
      <c r="C6" s="18">
        <v>681230000</v>
      </c>
      <c r="D6" s="18">
        <v>415514000</v>
      </c>
      <c r="E6" s="18">
        <v>483846000</v>
      </c>
      <c r="F6" s="6" t="s">
        <v>92</v>
      </c>
    </row>
    <row r="7" spans="1:6" x14ac:dyDescent="0.25">
      <c r="A7" t="s">
        <v>93</v>
      </c>
      <c r="B7" s="18">
        <v>1411468000</v>
      </c>
      <c r="C7" s="18">
        <v>1283286000</v>
      </c>
      <c r="D7" s="18">
        <v>1414877000</v>
      </c>
      <c r="E7" s="18">
        <v>1210755000</v>
      </c>
      <c r="F7" s="6" t="s">
        <v>94</v>
      </c>
    </row>
    <row r="8" spans="1:6" x14ac:dyDescent="0.25">
      <c r="A8" t="s">
        <v>95</v>
      </c>
      <c r="B8" s="18">
        <v>644615000</v>
      </c>
      <c r="C8" s="18">
        <v>603846000</v>
      </c>
      <c r="D8" s="18">
        <v>643005000</v>
      </c>
      <c r="E8" s="18">
        <v>454069000</v>
      </c>
      <c r="F8" s="6" t="s">
        <v>96</v>
      </c>
    </row>
    <row r="9" spans="1:6" x14ac:dyDescent="0.25">
      <c r="A9" t="s">
        <v>97</v>
      </c>
      <c r="B9" s="18">
        <v>-49430000</v>
      </c>
      <c r="C9" s="18">
        <v>-43811000</v>
      </c>
      <c r="D9" s="18">
        <v>53598000</v>
      </c>
      <c r="E9" s="18">
        <v>40785000</v>
      </c>
      <c r="F9" s="6" t="s">
        <v>98</v>
      </c>
    </row>
    <row r="10" spans="1:6" x14ac:dyDescent="0.25">
      <c r="A10" t="s">
        <v>99</v>
      </c>
      <c r="B10" s="18">
        <v>13219618000</v>
      </c>
      <c r="C10" s="18">
        <v>13740554000</v>
      </c>
      <c r="D10" s="18">
        <v>13685630000</v>
      </c>
      <c r="E10" s="18">
        <v>12487220000</v>
      </c>
      <c r="F10" s="6" t="s">
        <v>100</v>
      </c>
    </row>
    <row r="11" spans="1:6" x14ac:dyDescent="0.25">
      <c r="A11" t="s">
        <v>101</v>
      </c>
      <c r="B11" s="18">
        <v>741067000</v>
      </c>
      <c r="C11" s="18">
        <v>897850000</v>
      </c>
      <c r="D11" s="18">
        <v>508794000</v>
      </c>
      <c r="E11" s="18">
        <v>122564000</v>
      </c>
      <c r="F11" s="6" t="s">
        <v>102</v>
      </c>
    </row>
    <row r="12" spans="1:6" x14ac:dyDescent="0.25">
      <c r="A12" t="s">
        <v>34</v>
      </c>
      <c r="B12" s="34">
        <v>462615000</v>
      </c>
      <c r="C12" s="34">
        <v>416366000</v>
      </c>
      <c r="D12" s="34">
        <v>405670000</v>
      </c>
      <c r="E12" s="34">
        <v>403454000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19" ht="38" customHeight="1" spans="1:6" x14ac:dyDescent="0.25">
      <c r="A19" s="35" t="s">
        <v>108</v>
      </c>
      <c r="B19" s="35"/>
      <c r="C19" s="35"/>
      <c r="D19" s="35"/>
      <c r="E19" s="35"/>
      <c r="F19" s="35"/>
    </row>
    <row r="21" spans="1:1" x14ac:dyDescent="0.25">
      <c r="A21" s="36" t="s">
        <v>109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