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<sst xmlns="http://schemas.openxmlformats.org/spreadsheetml/2006/main" count="114" uniqueCount="102">
  <si>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Ventas, Inc. (VTR)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</si>
  <si>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</si>
  <si>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</si>
  <si>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</si>
  <si>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</si>
  <si>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</si>
  <si>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</si>
  <si>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</si>
  <si>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</si>
  <si>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</si>
  <si>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</si>
  <si>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</si>
  <si>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</si>
  <si>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</si>
  <si>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</si>
  <si>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</si>
  <si>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</si>
  <si>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</si>
  <si>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</si>
  <si>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</si>
  <si>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</si>
  <si>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</si>
  <si>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</si>
  <si>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</si>
  <si>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</si>
  <si>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</si>
  <si>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</si>
  <si>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</si>
  <si>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</si>
  <si>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</si>
  <si>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</si>
  <si>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</si>
  <si>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</si>
  <si>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</si>
  <si>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</si>
  <si>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</si>
  <si>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</si>
  <si>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</si>
  <si>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</si>
  <si>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</si>
  <si>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</si>
  <si>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</si>
  <si>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</si>
  <si>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</si>
  <si>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</si>
  <si>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</si>
  <si>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</si>
  <si>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</si>
  <si>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</si>
  <si>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</si>
  <si>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</si>
  <si>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</si>
  <si>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</si>
  <si>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</si>
  <si>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</si>
  <si>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</si>
  <si>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</si>
  <si>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</si>
  <si>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</si>
  <si>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</si>
  <si>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</si>
  <si>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</si>
  <si>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</si>
  <si>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</si>
  <si>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</si>
  <si>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</si>
  <si>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</si>
  <si>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</si>
  <si>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</si>
  <si>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</si>
  <si>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</si>
  <si>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</si>
  <si>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</si>
  <si>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</si>
  <si>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</si>
  <si>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</si>
  <si>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</si>
  <si>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</si>
  <si>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</si>
  <si>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</si>
  <si>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</si>
  <si>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</si>
  <si>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</si>
  <si>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</si>
  <si>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</si>
  <si>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</si>
  <si>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</si>
  <si>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</si>
  <si>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</si>
  <si>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</si>
  <si>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</si>
  <si>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</si>
  <si>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</si>
  <si>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</si>
  <si>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</si>
  <si>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</si>
  <si>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</si>
  <si>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</si>
  <si>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1.1%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</si>
  <si>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Reported capital expenditure averages 12.15% of revenue against depreciation of 27.26%. A business cannot depreciate more than it invests indefinitely. Capex has been set to 27.26% of revenue so the forecast is not handed free growth. Override it if the reported figure is right.</t>
  </si>
  <si>
    <t>Current EV/EBITDA of 25.1x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</si>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</sst>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0.12210436341766595</v>
      </c>
    </row>
    <row r="7" spans="1:2" x14ac:dyDescent="0.25">
      <c r="A7" t="s">
        <v>5</v>
      </c>
      <c r="B7" s="6">
        <v>0.12372179882544884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0.2775827428620647</v>
      </c>
    </row>
    <row r="10" spans="1:2" x14ac:dyDescent="0.25">
      <c r="A10" t="s">
        <v>8</v>
      </c>
      <c r="B10" s="6">
        <v>0.2726366708239242</v>
      </c>
    </row>
    <row r="11" spans="1:2" x14ac:dyDescent="0.25">
      <c r="A11" t="s">
        <v>9</v>
      </c>
      <c r="B11" s="6">
        <v>-0.054335758271280864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0.08213100175913976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0.81508</v>
      </c>
      <c r="C19" s="8" t="s">
        <v>19</v>
      </c>
    </row>
    <row r="20" spans="1:2" x14ac:dyDescent="0.25">
      <c r="A20" t="s">
        <v>20</v>
      </c>
      <c r="B20" s="10">
        <f>B17+B19*B18</f>
        <v>0.0948094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44467322880</v>
      </c>
    </row>
    <row r="23" spans="1:2" x14ac:dyDescent="0.25">
      <c r="A23" t="s">
        <v>24</v>
      </c>
      <c r="B23" s="11">
        <v>13219618000</v>
      </c>
    </row>
    <row r="24" spans="1:2" x14ac:dyDescent="0.25">
      <c r="A24" t="s">
        <v>25</v>
      </c>
      <c r="B24" s="10">
        <f>B22/(B22+B23)</f>
        <v>0.7708386369889267</v>
      </c>
    </row>
    <row r="25" spans="1:2" x14ac:dyDescent="0.25">
      <c r="A25" t="s">
        <v>26</v>
      </c>
      <c r="B25" s="10">
        <f>1-B24</f>
        <v>0.22916136301107326</v>
      </c>
    </row>
    <row r="26" spans="1:2" x14ac:dyDescent="0.25">
      <c r="A26" t="s">
        <v>27</v>
      </c>
      <c r="B26" s="12">
        <f>B24*B20+B25*B21*(1-B8)</f>
        <v>0.08213100175913976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5833980000</v>
      </c>
      <c r="C29" s="8" t="s">
        <v>30</v>
      </c>
    </row>
    <row r="30" spans="1:2" x14ac:dyDescent="0.25">
      <c r="A30" t="s">
        <v>31</v>
      </c>
      <c r="B30" s="11">
        <v>12478551000</v>
      </c>
    </row>
    <row r="31" spans="1:2" x14ac:dyDescent="0.25">
      <c r="A31" t="s">
        <v>32</v>
      </c>
      <c r="B31" s="13">
        <v>462615000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0.12210436341766595</v>
      </c>
      <c r="C5" s="10">
        <f>Assumptions!B6</f>
        <v>0.12210436341766595</v>
      </c>
      <c r="D5" s="10">
        <f>Assumptions!B6</f>
        <v>0.12210436341766595</v>
      </c>
      <c r="E5" s="10">
        <f>Assumptions!B6</f>
        <v>0.12210436341766595</v>
      </c>
      <c r="F5" s="10">
        <f>Assumptions!B6</f>
        <v>0.12210436341766595</v>
      </c>
    </row>
    <row r="6" spans="1:6" x14ac:dyDescent="0.25">
      <c r="A6" t="s">
        <v>43</v>
      </c>
      <c r="B6" s="18">
        <f>Assumptions!B29*(1+B5)</f>
        <v>6546334414.091394</v>
      </c>
      <c r="C6" s="18">
        <f>B6*(1+C5)</f>
        <v>7345670410.443183</v>
      </c>
      <c r="D6" s="18">
        <f>C6*(1+D5)</f>
        <v>8242608819.786333</v>
      </c>
      <c r="E6" s="18">
        <f>D6*(1+E5)</f>
        <v>9249067322.627182</v>
      </c>
      <c r="F6" s="18">
        <f>E6*(1+F5)</f>
        <v>10378418800.26371</v>
      </c>
    </row>
    <row r="7" spans="1:6" x14ac:dyDescent="0.25">
      <c r="A7" t="s">
        <v>5</v>
      </c>
      <c r="B7" s="10">
        <f>Assumptions!B7</f>
        <v>0.12372179882544884</v>
      </c>
      <c r="C7" s="10">
        <f>Assumptions!B7</f>
        <v>0.12372179882544884</v>
      </c>
      <c r="D7" s="10">
        <f>Assumptions!B7</f>
        <v>0.12372179882544884</v>
      </c>
      <c r="E7" s="10">
        <f>Assumptions!B7</f>
        <v>0.12372179882544884</v>
      </c>
      <c r="F7" s="10">
        <f>Assumptions!B7</f>
        <v>0.12372179882544884</v>
      </c>
    </row>
    <row r="8" spans="1:6" x14ac:dyDescent="0.25">
      <c r="A8" t="s">
        <v>44</v>
      </c>
      <c r="B8" s="18">
        <f>B6*B7</f>
        <v>809924269.424328</v>
      </c>
      <c r="C8" s="18">
        <f>C6*C7</f>
        <v>908819556.7589037</v>
      </c>
      <c r="D8" s="18">
        <f>D6*D7</f>
        <v>1019790390.198475</v>
      </c>
      <c r="E8" s="18">
        <f>E6*E7</f>
        <v>1144311246.613113</v>
      </c>
      <c r="F8" s="18">
        <f>F6*F7</f>
        <v>1284036642.932483</v>
      </c>
    </row>
    <row r="9" spans="1:6" x14ac:dyDescent="0.25">
      <c r="A9" t="s">
        <v>45</v>
      </c>
      <c r="B9" s="18">
        <f>B8*(1-Assumptions!B8)</f>
        <v>639840172.8452191</v>
      </c>
      <c r="C9" s="18">
        <f>C8*(1-Assumptions!B8)</f>
        <v>717967449.839534</v>
      </c>
      <c r="D9" s="18">
        <f>D8*(1-Assumptions!B8)</f>
        <v>805634408.2567953</v>
      </c>
      <c r="E9" s="18">
        <f>E8*(1-Assumptions!B8)</f>
        <v>904005884.8243593</v>
      </c>
      <c r="F9" s="18">
        <f>F8*(1-Assumptions!B8)</f>
        <v>1014388947.9166616</v>
      </c>
    </row>
    <row r="10" spans="1:6" x14ac:dyDescent="0.25">
      <c r="A10" t="s">
        <v>46</v>
      </c>
      <c r="B10" s="18">
        <f>B6*Assumptions!B9</f>
        <v>1817149462.3558164</v>
      </c>
      <c r="C10" s="18">
        <f>C6*Assumptions!B9</f>
        <v>2039031340.6915274</v>
      </c>
      <c r="D10" s="18">
        <f>D6*Assumptions!B9</f>
        <v>2288005964.535336</v>
      </c>
      <c r="E10" s="18">
        <f>E6*Assumptions!B9</f>
        <v>2567381476.330746</v>
      </c>
      <c r="F10" s="18">
        <f>F6*Assumptions!B9</f>
        <v>2880869957.1484194</v>
      </c>
    </row>
    <row r="11" spans="1:6" x14ac:dyDescent="0.25">
      <c r="A11" t="s">
        <v>47</v>
      </c>
      <c r="B11" s="18">
        <f>-B6*Assumptions!B10</f>
        <v>-1784770820.757962</v>
      </c>
      <c r="C11" s="18">
        <f>-C6*Assumptions!B10</f>
        <v>-2002699125.673038</v>
      </c>
      <c r="D11" s="18">
        <f>-D6*Assumptions!B10</f>
        <v>-2247237427.530461</v>
      </c>
      <c r="E11" s="18">
        <f>-E6*Assumptions!B10</f>
        <v>-2521634923.067421</v>
      </c>
      <c r="F11" s="18">
        <f>-F6*Assumptions!B10</f>
        <v>-2829537550.120323</v>
      </c>
    </row>
    <row r="12" spans="1:6" x14ac:dyDescent="0.25">
      <c r="A12" t="s">
        <v>48</v>
      </c>
      <c r="B12" s="18">
        <f>-(B6-Assumptions!B29)*Assumptions!B11</f>
        <v>38706317.24754992</v>
      </c>
      <c r="C12" s="18">
        <f>-(C6-B6)*Assumptions!B11</f>
        <v>43432527.47530422</v>
      </c>
      <c r="D12" s="18">
        <f>-(D6-C6)*Assumptions!B11</f>
        <v>48735828.594296575</v>
      </c>
      <c r="E12" s="18">
        <f>-(E6-D6)*Assumptions!B11</f>
        <v>54686685.920435615</v>
      </c>
      <c r="F12" s="18">
        <f>-(F6-E6)*Assumptions!B11</f>
        <v>61364168.89217224</v>
      </c>
    </row>
    <row r="13" spans="1:6" x14ac:dyDescent="0.25">
      <c r="A13" s="19" t="s">
        <v>49</v>
      </c>
      <c r="B13" s="20">
        <f>B9+B10+B11+B12</f>
        <v>710925131.6906234</v>
      </c>
      <c r="C13" s="20">
        <f>C9+C10+C11+C12</f>
        <v>797732192.3333274</v>
      </c>
      <c r="D13" s="20">
        <f>D9+D10+D11+D12</f>
        <v>895138773.8559672</v>
      </c>
      <c r="E13" s="20">
        <f>E9+E10+E11+E12</f>
        <v>1004439124.0081203</v>
      </c>
      <c r="F13" s="20">
        <f>F9+F10+F11+F12</f>
        <v>1127085523.8369303</v>
      </c>
    </row>
    <row r="14" spans="1:6" x14ac:dyDescent="0.25">
      <c r="A14" t="s">
        <v>50</v>
      </c>
      <c r="B14" s="21">
        <f>1/(1+Assumptions!$B$26)^(1-0.5*Assumptions!$B$32)</f>
        <v>0.9613025190951068</v>
      </c>
      <c r="C14" s="21">
        <f>1/(1+Assumptions!$B$26)^(2-0.5*Assumptions!$B$32)</f>
        <v>0.8883420930852076</v>
      </c>
      <c r="D14" s="21">
        <f>1/(1+Assumptions!$B$26)^(3-0.5*Assumptions!$B$32)</f>
        <v>0.8209191785847519</v>
      </c>
      <c r="E14" s="21">
        <f>1/(1+Assumptions!$B$26)^(4-0.5*Assumptions!$B$32)</f>
        <v>0.7586134924978998</v>
      </c>
      <c r="F14" s="21">
        <f>1/(1+Assumptions!$B$26)^(5-0.5*Assumptions!$B$32)</f>
        <v>0.7010366501511169</v>
      </c>
    </row>
    <row r="15" spans="1:6" x14ac:dyDescent="0.25">
      <c r="A15" s="19" t="s">
        <v>51</v>
      </c>
      <c r="B15" s="20">
        <f>B13*B14</f>
        <v>683414119.9822168</v>
      </c>
      <c r="C15" s="20">
        <f>C13*C14</f>
        <v>708659085.4588395</v>
      </c>
      <c r="D15" s="20">
        <f>D13*D14</f>
        <v>734836586.9532026</v>
      </c>
      <c r="E15" s="20">
        <f>E13*E14</f>
        <v>761981071.8653312</v>
      </c>
      <c r="F15" s="20">
        <f>F13*F14</f>
        <v>790128260.0644585</v>
      </c>
    </row>
    <row r="17" spans="1:2" x14ac:dyDescent="0.25">
      <c r="A17" s="22" t="s">
        <v>52</v>
      </c>
      <c r="B17" s="23">
        <f>SUM(B15:F15)</f>
        <v>3679019124.3240485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1127085523.8369303</v>
      </c>
    </row>
    <row r="5" spans="1:2" x14ac:dyDescent="0.25">
      <c r="A5" t="s">
        <v>56</v>
      </c>
      <c r="B5" s="18">
        <f>IF(Assumptions!$B$33=0,B4,B4-Forecast!F11-Forecast!F10-Forecast!F12)</f>
        <v>1054941549.4688575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0.30439175785674544</v>
      </c>
    </row>
    <row r="7" spans="1:2" x14ac:dyDescent="0.25">
      <c r="A7" t="s">
        <v>58</v>
      </c>
      <c r="B7" s="18">
        <f>-MAX(Forecast!F9,0)*B6</f>
        <v>-321115512.6789443</v>
      </c>
    </row>
    <row r="8" spans="1:2" x14ac:dyDescent="0.25">
      <c r="A8" t="s">
        <v>59</v>
      </c>
      <c r="B8" s="18">
        <f>IF(OR(Assumptions!$B$33=0,Assumptions!B12&lt;=0),B5,MAX(B5+B7,0))</f>
        <v>733826036.7899132</v>
      </c>
    </row>
    <row r="9" spans="1:2" x14ac:dyDescent="0.25">
      <c r="A9" t="s">
        <v>60</v>
      </c>
      <c r="B9" s="18">
        <f>B8*(1+Assumptions!B12)/(Assumptions!B26-Assumptions!B12)</f>
        <v>13165736019.836712</v>
      </c>
    </row>
    <row r="10" spans="1:2" x14ac:dyDescent="0.25">
      <c r="A10" t="s">
        <v>61</v>
      </c>
      <c r="B10" s="18">
        <f>B9/(1+Assumptions!B26)^(5-0.5*Assumptions!B32)</f>
        <v>9229663476.120228</v>
      </c>
    </row>
    <row r="11" spans="1:2" x14ac:dyDescent="0.25">
      <c r="A11" t="s">
        <v>62</v>
      </c>
      <c r="B11" s="18">
        <f>Forecast!B17+B10</f>
        <v>12908682600.444277</v>
      </c>
    </row>
    <row r="12" spans="1:2" x14ac:dyDescent="0.25">
      <c r="A12" t="s">
        <v>63</v>
      </c>
      <c r="B12" s="18">
        <f>-Assumptions!B30</f>
        <v>-12478551000</v>
      </c>
    </row>
    <row r="13" spans="1:2" x14ac:dyDescent="0.25">
      <c r="A13" t="s">
        <v>64</v>
      </c>
      <c r="B13" s="18">
        <f>B11+B12</f>
        <v>430131600.4442768</v>
      </c>
    </row>
    <row r="14" spans="1:2" x14ac:dyDescent="0.25">
      <c r="A14" s="19" t="s">
        <v>65</v>
      </c>
      <c r="B14" s="24">
        <f>B13/Assumptions!B31</f>
        <v>0.929783081924012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4164906600.080902</v>
      </c>
    </row>
    <row r="18" spans="1:2" x14ac:dyDescent="0.25">
      <c r="A18" t="s">
        <v>60</v>
      </c>
      <c r="B18" s="18">
        <f>B17*Assumptions!B13</f>
        <v>83298132001.61804</v>
      </c>
    </row>
    <row r="19" spans="1:2" x14ac:dyDescent="0.25">
      <c r="A19" t="s">
        <v>61</v>
      </c>
      <c r="B19" s="18">
        <f>B18/(1+Assumptions!B26)^(5-0.5*Assumptions!B32)</f>
        <v>58395043422.259865</v>
      </c>
    </row>
    <row r="20" spans="1:2" x14ac:dyDescent="0.25">
      <c r="A20" t="s">
        <v>62</v>
      </c>
      <c r="B20" s="18">
        <f>Forecast!B17+B19</f>
        <v>62074062546.583916</v>
      </c>
    </row>
    <row r="21" spans="1:2" x14ac:dyDescent="0.25">
      <c r="A21" t="s">
        <v>63</v>
      </c>
      <c r="B21" s="18">
        <f>-Assumptions!B30</f>
        <v>-12478551000</v>
      </c>
    </row>
    <row r="22" spans="1:2" x14ac:dyDescent="0.25">
      <c r="A22" t="s">
        <v>64</v>
      </c>
      <c r="B22" s="18">
        <f>B20+B21</f>
        <v>49595511546.583916</v>
      </c>
    </row>
    <row r="23" spans="1:2" x14ac:dyDescent="0.25">
      <c r="A23" s="19" t="s">
        <v>65</v>
      </c>
      <c r="B23" s="25">
        <f>B22/Assumptions!B31</f>
        <v>107.20688163285651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86.69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0.929783081924012</v>
      </c>
    </row>
    <row r="29" spans="1:2" x14ac:dyDescent="0.25">
      <c r="A29" s="19" t="s">
        <v>73</v>
      </c>
      <c r="B29" s="12">
        <f>B28/B26-1</f>
        <v>-0.9892746212720728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0.062131</v>
      </c>
      <c r="B5" s="31">
        <v>9.77561812767775</v>
      </c>
      <c r="C5" s="31">
        <v>9.91553463876132</v>
      </c>
      <c r="D5" s="31">
        <v>10.055451149844897</v>
      </c>
      <c r="E5" s="31">
        <v>10.195367660928467</v>
      </c>
      <c r="F5" s="31">
        <v>10.335284172012035</v>
      </c>
    </row>
    <row r="6" spans="1:6" x14ac:dyDescent="0.25">
      <c r="A6" s="30">
        <v>0.072131</v>
      </c>
      <c r="B6" s="31">
        <v>4.626743864354892</v>
      </c>
      <c r="C6" s="31">
        <v>4.742286267852635</v>
      </c>
      <c r="D6" s="31">
        <v>4.857828671350381</v>
      </c>
      <c r="E6" s="31">
        <v>4.973371074848124</v>
      </c>
      <c r="F6" s="31">
        <v>5.088913478345867</v>
      </c>
    </row>
    <row r="7" spans="1:6" x14ac:dyDescent="0.25">
      <c r="A7" s="30">
        <v>0.082131</v>
      </c>
      <c r="B7" s="31">
        <v>0.7351391137763663</v>
      </c>
      <c r="C7" s="31">
        <v>0.8324614011161398</v>
      </c>
      <c r="D7" s="32">
        <v>0.929783688455905</v>
      </c>
      <c r="E7" s="31">
        <v>1.0271059757956702</v>
      </c>
      <c r="F7" s="31">
        <v>1.1244282631354352</v>
      </c>
    </row>
    <row r="8" spans="1:6" x14ac:dyDescent="0.25">
      <c r="A8" s="30">
        <v>0.092131</v>
      </c>
      <c r="B8" s="31">
        <v>-2.3087107484737253</v>
      </c>
      <c r="C8" s="31">
        <v>-2.225469880426096</v>
      </c>
      <c r="D8" s="31">
        <v>-2.1422290123784626</v>
      </c>
      <c r="E8" s="31">
        <v>-2.058988144330829</v>
      </c>
      <c r="F8" s="31">
        <v>-1.9757472762831998</v>
      </c>
    </row>
    <row r="9" spans="1:6" x14ac:dyDescent="0.25">
      <c r="A9" s="30">
        <v>0.102131</v>
      </c>
      <c r="B9" s="31">
        <v>-4.753927864815894</v>
      </c>
      <c r="C9" s="31">
        <v>-4.681855026437569</v>
      </c>
      <c r="D9" s="31">
        <v>-4.609782188059253</v>
      </c>
      <c r="E9" s="31">
        <v>-4.537709349680925</v>
      </c>
      <c r="F9" s="31">
        <v>-4.465636511302605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5833980000</v>
      </c>
      <c r="C5" s="18">
        <v>4924266000</v>
      </c>
      <c r="D5" s="18">
        <v>4497827000</v>
      </c>
      <c r="E5" s="18">
        <v>4129193000</v>
      </c>
      <c r="F5" s="8" t="s">
        <v>84</v>
      </c>
    </row>
    <row r="6" spans="1:6" x14ac:dyDescent="0.25">
      <c r="A6" t="s">
        <v>44</v>
      </c>
      <c r="B6" s="18">
        <v>857524000</v>
      </c>
      <c r="C6" s="18">
        <v>681230000</v>
      </c>
      <c r="D6" s="18">
        <v>415514000</v>
      </c>
      <c r="E6" s="18">
        <v>483846000</v>
      </c>
      <c r="F6" s="8" t="s">
        <v>85</v>
      </c>
    </row>
    <row r="7" spans="1:6" x14ac:dyDescent="0.25">
      <c r="A7" t="s">
        <v>86</v>
      </c>
      <c r="B7" s="18">
        <v>1411468000</v>
      </c>
      <c r="C7" s="18">
        <v>1283286000</v>
      </c>
      <c r="D7" s="18">
        <v>1414877000</v>
      </c>
      <c r="E7" s="18">
        <v>1210755000</v>
      </c>
      <c r="F7" s="8" t="s">
        <v>87</v>
      </c>
    </row>
    <row r="8" spans="1:6" x14ac:dyDescent="0.25">
      <c r="A8" t="s">
        <v>88</v>
      </c>
      <c r="B8" s="18">
        <v>644615000</v>
      </c>
      <c r="C8" s="18">
        <v>603846000</v>
      </c>
      <c r="D8" s="18">
        <v>643005000</v>
      </c>
      <c r="E8" s="18">
        <v>454069000</v>
      </c>
      <c r="F8" s="8" t="s">
        <v>89</v>
      </c>
    </row>
    <row r="9" spans="1:6" x14ac:dyDescent="0.25">
      <c r="A9" t="s">
        <v>90</v>
      </c>
      <c r="B9" s="18">
        <v>-49430000</v>
      </c>
      <c r="C9" s="18">
        <v>-43811000</v>
      </c>
      <c r="D9" s="18">
        <v>53598000</v>
      </c>
      <c r="E9" s="18">
        <v>40785000</v>
      </c>
      <c r="F9" s="8" t="s">
        <v>91</v>
      </c>
    </row>
    <row r="10" spans="1:6" x14ac:dyDescent="0.25">
      <c r="A10" t="s">
        <v>92</v>
      </c>
      <c r="B10" s="18">
        <v>13219618000</v>
      </c>
      <c r="C10" s="18">
        <v>13740554000</v>
      </c>
      <c r="D10" s="18">
        <v>13685630000</v>
      </c>
      <c r="E10" s="18">
        <v>12487220000</v>
      </c>
      <c r="F10" s="8" t="s">
        <v>93</v>
      </c>
    </row>
    <row r="11" spans="1:6" x14ac:dyDescent="0.25">
      <c r="A11" t="s">
        <v>94</v>
      </c>
      <c r="B11" s="18">
        <v>741067000</v>
      </c>
      <c r="C11" s="18">
        <v>897850000</v>
      </c>
      <c r="D11" s="18">
        <v>508794000</v>
      </c>
      <c r="E11" s="18">
        <v>122564000</v>
      </c>
      <c r="F11" s="8" t="s">
        <v>95</v>
      </c>
    </row>
    <row r="12" spans="1:6" x14ac:dyDescent="0.25">
      <c r="A12" t="s">
        <v>32</v>
      </c>
      <c r="B12" s="34">
        <v>462615000</v>
      </c>
      <c r="C12" s="34">
        <v>416366000</v>
      </c>
      <c r="D12" s="34">
        <v>405670000</v>
      </c>
      <c r="E12" s="34">
        <v>403454000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