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<sst xmlns="http://schemas.openxmlformats.org/spreadsheetml/2006/main" count="120" uniqueCount="107">
  <si>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Viatris Inc. (VTRS)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</si>
  <si>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</si>
  <si>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</si>
  <si>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</si>
  <si>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</si>
  <si>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</si>
  <si>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</si>
  <si>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</si>
  <si>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</si>
  <si>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</si>
  <si>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</si>
  <si>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</si>
  <si>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</si>
  <si>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</si>
  <si>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</si>
  <si>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</si>
  <si>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</si>
  <si>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</si>
  <si>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</si>
  <si>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</si>
  <si>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</si>
  <si>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</si>
  <si>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</si>
  <si>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</si>
  <si>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C rating at 0.5x interest cover, capped at 200bp because one year's cover is too noisy to charge more.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</si>
  <si>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</si>
  <si>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</si>
  <si>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</si>
  <si>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</si>
  <si>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</si>
  <si>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</si>
  <si>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</si>
  <si>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</si>
  <si>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</si>
  <si>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</si>
  <si>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</si>
  <si>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</si>
  <si>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</si>
  <si>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</si>
  <si>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</si>
  <si>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</si>
  <si>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</si>
  <si>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</si>
  <si>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</si>
  <si>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</si>
  <si>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</si>
  <si>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</si>
  <si>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</si>
  <si>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</si>
  <si>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</si>
  <si>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</si>
  <si>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</si>
  <si>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</si>
  <si>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</si>
  <si>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</si>
  <si>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</si>
  <si>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</si>
  <si>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</si>
  <si>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</si>
  <si>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</si>
  <si>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</si>
  <si>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</si>
  <si>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</si>
  <si>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</si>
  <si>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</si>
  <si>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</si>
  <si>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</si>
  <si>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</si>
  <si>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</si>
  <si>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</si>
  <si>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</si>
  <si>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</si>
  <si>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</si>
  <si>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</si>
  <si>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</si>
  <si>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</si>
  <si>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</si>
  <si>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</si>
  <si>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</si>
  <si>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</si>
  <si>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</si>
  <si>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</si>
  <si>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</si>
  <si>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</si>
  <si>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</si>
  <si>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</si>
  <si>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</si>
  <si>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</si>
  <si>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</si>
  <si>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</si>
  <si>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</si>
  <si>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</si>
  <si>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</si>
  <si>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</si>
  <si>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</si>
  <si>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</si>
  <si>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</si>
  <si>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</si>
  <si>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</si>
  <si>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</si>
  <si>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</si>
  <si>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</si>
  <si>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</si>
  <si>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</si>
  <si>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</si>
  <si>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3.11% of revenue against depreciation and amortisation of 18.89%. A business cannot depreciate more than it invests indefinitely. Capex has been set to 18.89%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</si>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</sst>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0.033485051643717734</v>
      </c>
    </row>
    <row r="7" spans="1:2" x14ac:dyDescent="0.25">
      <c r="A7" t="s">
        <v>4</v>
      </c>
      <c r="B7" s="5">
        <v>0.06726760264112222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0.188947705858617</v>
      </c>
    </row>
    <row r="10" spans="1:3" x14ac:dyDescent="0.25">
      <c r="A10" t="s">
        <v>7</v>
      </c>
      <c r="B10" s="5">
        <v>0.188947705858617</v>
      </c>
      <c r="C10" s="6" t="s">
        <v>8</v>
      </c>
    </row>
    <row r="11" spans="1:2" x14ac:dyDescent="0.25">
      <c r="A11" t="s">
        <v>9</v>
      </c>
      <c r="B11" s="5">
        <v>0.34785662906316106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11.484509485549511</v>
      </c>
    </row>
    <row r="14" spans="1:3" x14ac:dyDescent="0.25">
      <c r="A14" t="s">
        <v>12</v>
      </c>
      <c r="B14" s="5">
        <v>0.07404860606591884</v>
      </c>
      <c r="C14" s="6" t="s">
        <v>13</v>
      </c>
    </row>
    <row r="15" spans="1:3" x14ac:dyDescent="0.25">
      <c r="A15" t="s">
        <v>14</v>
      </c>
      <c r="B15" s="5">
        <v>0.188947705858617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0.90486</v>
      </c>
      <c r="C19" s="6" t="s">
        <v>21</v>
      </c>
    </row>
    <row r="20" spans="1:2" x14ac:dyDescent="0.25">
      <c r="A20" t="s">
        <v>22</v>
      </c>
      <c r="B20" s="9">
        <f>B17+B19*B18</f>
        <v>0.087215578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21863426048</v>
      </c>
    </row>
    <row r="23" spans="1:2" x14ac:dyDescent="0.25">
      <c r="A23" t="s">
        <v>26</v>
      </c>
      <c r="B23" s="10">
        <v>14698000000</v>
      </c>
    </row>
    <row r="24" spans="1:2" x14ac:dyDescent="0.25">
      <c r="A24" t="s">
        <v>27</v>
      </c>
      <c r="B24" s="9">
        <f>B22/(B22+B23)</f>
        <v>0.5979916105924425</v>
      </c>
    </row>
    <row r="25" spans="1:2" x14ac:dyDescent="0.25">
      <c r="A25" t="s">
        <v>28</v>
      </c>
      <c r="B25" s="9">
        <f>1-B24</f>
        <v>0.40200838940755745</v>
      </c>
    </row>
    <row r="26" spans="1:2" x14ac:dyDescent="0.25">
      <c r="A26" t="s">
        <v>29</v>
      </c>
      <c r="B26" s="11">
        <f>B24*B20+B25*B21*(1-B8)</f>
        <v>0.07404860606591884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14299900000</v>
      </c>
      <c r="C29" s="6" t="s">
        <v>32</v>
      </c>
    </row>
    <row r="30" spans="1:2" x14ac:dyDescent="0.25">
      <c r="A30" t="s">
        <v>33</v>
      </c>
      <c r="B30" s="10">
        <v>13185000000</v>
      </c>
    </row>
    <row r="31" spans="1:2" x14ac:dyDescent="0.25">
      <c r="A31" t="s">
        <v>34</v>
      </c>
      <c r="B31" s="12">
        <v>1170700000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0.033485051643717734</v>
      </c>
      <c r="C5" s="5">
        <v>0.029917951240540974</v>
      </c>
      <c r="D5" s="5">
        <v>0.029303207335473352</v>
      </c>
      <c r="E5" s="5">
        <v>0.02868846343040573</v>
      </c>
      <c r="F5" s="5">
        <v>0.02807371952533811</v>
      </c>
      <c r="G5" s="5">
        <v>0.027458975620270488</v>
      </c>
      <c r="H5" s="5">
        <v>0.026844231715202865</v>
      </c>
      <c r="I5" s="5">
        <v>0.026229487810135246</v>
      </c>
      <c r="J5" s="5">
        <v>0.025614743905067624</v>
      </c>
      <c r="K5" s="5">
        <v>0.025</v>
      </c>
    </row>
    <row r="6" spans="1:11" x14ac:dyDescent="0.25">
      <c r="A6" t="s">
        <v>50</v>
      </c>
      <c r="B6" s="18">
        <f>Assumptions!B29*(1+B5)</f>
        <v>14778732890</v>
      </c>
      <c r="C6" s="18">
        <f>B6*(1+C5)</f>
        <v>15220882300</v>
      </c>
      <c r="D6" s="18">
        <f>C6*(1+D5)</f>
        <v>15666902969.865736</v>
      </c>
      <c r="E6" s="18">
        <f>D6*(1+E5)</f>
        <v>16116362342.784443</v>
      </c>
      <c r="F6" s="18">
        <f>E6*(1+F5)</f>
        <v>16568808578.964497</v>
      </c>
      <c r="G6" s="18">
        <f>F6*(1+G5)</f>
        <v>17023771089.791212</v>
      </c>
      <c r="H6" s="18">
        <f>G6*(1+H5)</f>
        <v>17480761145.59214</v>
      </c>
      <c r="I6" s="18">
        <f>H6*(1+I5)</f>
        <v>17939272556.972336</v>
      </c>
      <c r="J6" s="18">
        <f>I6*(1+J5)</f>
        <v>18398782429.36239</v>
      </c>
      <c r="K6" s="18">
        <f>J6*(1+K5)</f>
        <v>18858751990.096447</v>
      </c>
    </row>
    <row r="7" spans="1:11" x14ac:dyDescent="0.25">
      <c r="A7" t="s">
        <v>4</v>
      </c>
      <c r="B7" s="9">
        <f>Assumptions!B7</f>
        <v>0.06726760264112222</v>
      </c>
      <c r="C7" s="9">
        <f>Assumptions!B7</f>
        <v>0.06726760264112222</v>
      </c>
      <c r="D7" s="9">
        <f>Assumptions!B7</f>
        <v>0.06726760264112222</v>
      </c>
      <c r="E7" s="9">
        <f>Assumptions!B7</f>
        <v>0.06726760264112222</v>
      </c>
      <c r="F7" s="9">
        <f>Assumptions!B7</f>
        <v>0.06726760264112222</v>
      </c>
      <c r="G7" s="9">
        <f>Assumptions!B7</f>
        <v>0.06726760264112222</v>
      </c>
      <c r="H7" s="9">
        <f>Assumptions!B7</f>
        <v>0.06726760264112222</v>
      </c>
      <c r="I7" s="9">
        <f>Assumptions!B7</f>
        <v>0.06726760264112222</v>
      </c>
      <c r="J7" s="9">
        <f>Assumptions!B7</f>
        <v>0.06726760264112222</v>
      </c>
      <c r="K7" s="9">
        <f>Assumptions!B7</f>
        <v>0.06726760264112222</v>
      </c>
    </row>
    <row r="8" spans="1:11" x14ac:dyDescent="0.25">
      <c r="A8" t="s">
        <v>51</v>
      </c>
      <c r="B8" s="18">
        <f>B6*B7</f>
        <v>994129931.5838038</v>
      </c>
      <c r="C8" s="18">
        <f>C6*C7</f>
        <v>1023872262.4036905</v>
      </c>
      <c r="D8" s="18">
        <f>D6*D7</f>
        <v>1053875003.593946</v>
      </c>
      <c r="E8" s="18">
        <f>E6*E7</f>
        <v>1084109058.0947695</v>
      </c>
      <c r="F8" s="18">
        <f>F6*F7</f>
        <v>1114544031.7266006</v>
      </c>
      <c r="G8" s="18">
        <f>G6*G7</f>
        <v>1145148269.1214995</v>
      </c>
      <c r="H8" s="18">
        <f>H6*H7</f>
        <v>1175888894.6060605</v>
      </c>
      <c r="I8" s="18">
        <f>I6*I7</f>
        <v>1206731858.0332036</v>
      </c>
      <c r="J8" s="18">
        <f>J6*J7</f>
        <v>1237641985.5388105</v>
      </c>
      <c r="K8" s="18">
        <f>K6*K7</f>
        <v>1268583035.1772807</v>
      </c>
    </row>
    <row r="9" spans="1:11" x14ac:dyDescent="0.25">
      <c r="A9" t="s">
        <v>52</v>
      </c>
      <c r="B9" s="18">
        <f>B8*(1-Assumptions!B8)</f>
        <v>785362645.951205</v>
      </c>
      <c r="C9" s="18">
        <f>C8*(1-Assumptions!B8)</f>
        <v>808859087.2989155</v>
      </c>
      <c r="D9" s="18">
        <f>D8*(1-Assumptions!B8)</f>
        <v>832561252.8392173</v>
      </c>
      <c r="E9" s="18">
        <f>E8*(1-Assumptions!B8)</f>
        <v>856446155.8948679</v>
      </c>
      <c r="F9" s="18">
        <f>F8*(1-Assumptions!B8)</f>
        <v>880489785.0640146</v>
      </c>
      <c r="G9" s="18">
        <f>G8*(1-Assumptions!B8)</f>
        <v>904667132.6059847</v>
      </c>
      <c r="H9" s="18">
        <f>H8*(1-Assumptions!B8)</f>
        <v>928952226.7387879</v>
      </c>
      <c r="I9" s="18">
        <f>I8*(1-Assumptions!B8)</f>
        <v>953318167.8462309</v>
      </c>
      <c r="J9" s="18">
        <f>J8*(1-Assumptions!B8)</f>
        <v>977737168.5756603</v>
      </c>
      <c r="K9" s="18">
        <f>K8*(1-Assumptions!B8)</f>
        <v>1002180597.7900518</v>
      </c>
    </row>
    <row r="10" spans="1:11" x14ac:dyDescent="0.25">
      <c r="A10" t="s">
        <v>53</v>
      </c>
      <c r="B10" s="18">
        <f>B6*Assumptions!B9</f>
        <v>2792407675.062789</v>
      </c>
      <c r="C10" s="18">
        <f>C6*Assumptions!B9</f>
        <v>2875950791.7290297</v>
      </c>
      <c r="D10" s="18">
        <f>D6*Assumptions!B9</f>
        <v>2960225374.0656843</v>
      </c>
      <c r="E10" s="18">
        <f>E6*Assumptions!B9</f>
        <v>3045149691.4553266</v>
      </c>
      <c r="F10" s="18">
        <f>F6*Assumptions!B9</f>
        <v>3130638369.805914</v>
      </c>
      <c r="G10" s="18">
        <f>G6*Assumptions!B9</f>
        <v>3216602492.4782977</v>
      </c>
      <c r="H10" s="18">
        <f>H6*Assumptions!B9</f>
        <v>3302949715.1220846</v>
      </c>
      <c r="I10" s="18">
        <f>I6*Assumptions!B9</f>
        <v>3389584394.4123693</v>
      </c>
      <c r="J10" s="18">
        <f>J6*Assumptions!B9</f>
        <v>3476407730.6198554</v>
      </c>
      <c r="K10" s="18">
        <f>K6*Assumptions!B9</f>
        <v>3563317923.8853517</v>
      </c>
    </row>
    <row r="11" spans="1:11" x14ac:dyDescent="0.25">
      <c r="A11" t="s">
        <v>54</v>
      </c>
      <c r="B11" s="18">
        <f>-B6*B19</f>
        <v>-2792407675.062789</v>
      </c>
      <c r="C11" s="18">
        <f>-C6*C19</f>
        <v>-2906293439.854673</v>
      </c>
      <c r="D11" s="18">
        <f>-D6*D19</f>
        <v>-3022688944.1352367</v>
      </c>
      <c r="E11" s="18">
        <f>-E6*E19</f>
        <v>-3141533022.3281646</v>
      </c>
      <c r="F11" s="18">
        <f>-F6*F19</f>
        <v>-3262757262.433487</v>
      </c>
      <c r="G11" s="18">
        <f>-G6*G19</f>
        <v>-3386285920.0773115</v>
      </c>
      <c r="H11" s="18">
        <f>-H6*H19</f>
        <v>-3512035853.7393384</v>
      </c>
      <c r="I11" s="18">
        <f>-I6*I19</f>
        <v>-3639916482.177316</v>
      </c>
      <c r="J11" s="18">
        <f>-J6*J19</f>
        <v>-3769829765.0018754</v>
      </c>
      <c r="K11" s="18">
        <f>-K6*K19</f>
        <v>-3901670207.2821183</v>
      </c>
    </row>
    <row r="12" spans="1:11" x14ac:dyDescent="0.25">
      <c r="A12" t="s">
        <v>55</v>
      </c>
      <c r="B12" s="18">
        <f>-(B6-Assumptions!B29)*Assumptions!B11</f>
        <v>-166565194.9999714</v>
      </c>
      <c r="C12" s="18">
        <f>-(C6-B6)*Assumptions!B11</f>
        <v>-153804603.3048655</v>
      </c>
      <c r="D12" s="18">
        <f>-(D6-C6)*Assumptions!B11</f>
        <v>-155151246.71198794</v>
      </c>
      <c r="E12" s="18">
        <f>-(E6-D6)*Assumptions!B11</f>
        <v>-156347422.3643436</v>
      </c>
      <c r="F12" s="18">
        <f>-(F6-E6)*Assumptions!B11</f>
        <v>-157386422.5499083</v>
      </c>
      <c r="G12" s="18">
        <f>-(G6-F6)*Assumptions!B11</f>
        <v>-158261725.36629316</v>
      </c>
      <c r="H12" s="18">
        <f>-(H6-G6)*Assumptions!B11</f>
        <v>-158967020.32629672</v>
      </c>
      <c r="I12" s="18">
        <f>-(I6-H6)*Assumptions!B11</f>
        <v>-159496233.94970715</v>
      </c>
      <c r="J12" s="18">
        <f>-(J6-I6)*Assumptions!B11</f>
        <v>-159843555.23084706</v>
      </c>
      <c r="K12" s="18">
        <f>-(K6-J6)*Assumptions!B11</f>
        <v>-160003460.86861247</v>
      </c>
    </row>
    <row r="13" spans="1:11" x14ac:dyDescent="0.25">
      <c r="A13" s="19" t="s">
        <v>56</v>
      </c>
      <c r="B13" s="20">
        <f>B9+B10+B11+B12</f>
        <v>618797450.9512339</v>
      </c>
      <c r="C13" s="20">
        <f>C9+C10+C11+C12</f>
        <v>624711835.8684067</v>
      </c>
      <c r="D13" s="20">
        <f>D9+D10+D11+D12</f>
        <v>614946436.0576768</v>
      </c>
      <c r="E13" s="20">
        <f>E9+E10+E11+E12</f>
        <v>603715402.6576862</v>
      </c>
      <c r="F13" s="20">
        <f>F9+F10+F11+F12</f>
        <v>590984469.8865331</v>
      </c>
      <c r="G13" s="20">
        <f>G9+G10+G11+G12</f>
        <v>576721979.6406777</v>
      </c>
      <c r="H13" s="20">
        <f>H9+H10+H11+H12</f>
        <v>560899067.7952372</v>
      </c>
      <c r="I13" s="20">
        <f>I9+I10+I11+I12</f>
        <v>543489846.1315769</v>
      </c>
      <c r="J13" s="20">
        <f>J9+J10+J11+J12</f>
        <v>524471578.9627932</v>
      </c>
      <c r="K13" s="20">
        <f>K9+K10+K11+K12</f>
        <v>503824853.5246728</v>
      </c>
    </row>
    <row r="14" spans="1:11" x14ac:dyDescent="0.25">
      <c r="A14" t="s">
        <v>57</v>
      </c>
      <c r="B14" s="21">
        <f>1/(1+Assumptions!$B$26)^(1-0.5*Assumptions!$B$32)</f>
        <v>0.9649127212310792</v>
      </c>
      <c r="C14" s="21">
        <f>1/(1+Assumptions!$B$26)^(2-0.5*Assumptions!$B$32)</f>
        <v>0.8983883185374744</v>
      </c>
      <c r="D14" s="21">
        <f>1/(1+Assumptions!$B$26)^(3-0.5*Assumptions!$B$32)</f>
        <v>0.8364503370365498</v>
      </c>
      <c r="E14" s="21">
        <f>1/(1+Assumptions!$B$26)^(4-0.5*Assumptions!$B$32)</f>
        <v>0.7787825730721291</v>
      </c>
      <c r="F14" s="21">
        <f>1/(1+Assumptions!$B$26)^(5-0.5*Assumptions!$B$32)</f>
        <v>0.7250906231559616</v>
      </c>
      <c r="G14" s="21">
        <f>1/(1+Assumptions!$B$26)^(6-0.5*Assumptions!$B$32)</f>
        <v>0.6751003809891447</v>
      </c>
      <c r="H14" s="21">
        <f>1/(1+Assumptions!$B$26)^(7-0.5*Assumptions!$B$32)</f>
        <v>0.6285566381040589</v>
      </c>
      <c r="I14" s="21">
        <f>1/(1+Assumptions!$B$26)^(8-0.5*Assumptions!$B$32)</f>
        <v>0.5852217809828634</v>
      </c>
      <c r="J14" s="21">
        <f>1/(1+Assumptions!$B$26)^(9-0.5*Assumptions!$B$32)</f>
        <v>0.5448745780011243</v>
      </c>
      <c r="K14" s="21">
        <f>1/(1+Assumptions!$B$26)^(10-0.5*Assumptions!$B$32)</f>
        <v>0.5073090500037231</v>
      </c>
    </row>
    <row r="15" spans="1:11" x14ac:dyDescent="0.25">
      <c r="A15" s="19" t="s">
        <v>58</v>
      </c>
      <c r="B15" s="20">
        <f>B13*B14</f>
        <v>597085532.2882103</v>
      </c>
      <c r="C15" s="20">
        <f>C13*C14</f>
        <v>561233815.7962766</v>
      </c>
      <c r="D15" s="20">
        <f>D13*D14</f>
        <v>514372153.69986886</v>
      </c>
      <c r="E15" s="20">
        <f>E13*E14</f>
        <v>470163034.6850293</v>
      </c>
      <c r="F15" s="20">
        <f>F13*F14</f>
        <v>428517297.545522</v>
      </c>
      <c r="G15" s="20">
        <f>G13*G14</f>
        <v>389345228.18023527</v>
      </c>
      <c r="H15" s="20">
        <f>H13*H14</f>
        <v>352556832.36907494</v>
      </c>
      <c r="I15" s="20">
        <f>I13*I14</f>
        <v>318062095.6992238</v>
      </c>
      <c r="J15" s="20">
        <f>J13*J14</f>
        <v>285771230.26093525</v>
      </c>
      <c r="K15" s="20">
        <f>K13*K14</f>
        <v>255594907.8098667</v>
      </c>
    </row>
    <row r="17" spans="1:2" x14ac:dyDescent="0.25">
      <c r="A17" s="22" t="s">
        <v>59</v>
      </c>
      <c r="B17" s="23">
        <f>SUM(B15:K15)</f>
        <v>4172702128.3342433</v>
      </c>
    </row>
    <row r="19" spans="1:11" x14ac:dyDescent="0.25">
      <c r="A19" t="s">
        <v>7</v>
      </c>
      <c r="B19" s="9">
        <f>Assumptions!$B$10+($B$20-Assumptions!$B$10)*0/9</f>
        <v>0.188947705858617</v>
      </c>
      <c r="C19" s="9">
        <f>Assumptions!$B$10+($B$20-Assumptions!$B$10)*1/9</f>
        <v>0.19094119398418008</v>
      </c>
      <c r="D19" s="9">
        <f>Assumptions!$B$10+($B$20-Assumptions!$B$10)*2/9</f>
        <v>0.19293468210974316</v>
      </c>
      <c r="E19" s="9">
        <f>Assumptions!$B$10+($B$20-Assumptions!$B$10)*3/9</f>
        <v>0.19492817023530623</v>
      </c>
      <c r="F19" s="9">
        <f>Assumptions!$B$10+($B$20-Assumptions!$B$10)*4/9</f>
        <v>0.1969216583608693</v>
      </c>
      <c r="G19" s="9">
        <f>Assumptions!$B$10+($B$20-Assumptions!$B$10)*5/9</f>
        <v>0.19891514648643238</v>
      </c>
      <c r="H19" s="9">
        <f>Assumptions!$B$10+($B$20-Assumptions!$B$10)*6/9</f>
        <v>0.20090863461199546</v>
      </c>
      <c r="I19" s="9">
        <f>Assumptions!$B$10+($B$20-Assumptions!$B$10)*7/9</f>
        <v>0.20290212273755853</v>
      </c>
      <c r="J19" s="9">
        <f>Assumptions!$B$10+($B$20-Assumptions!$B$10)*8/9</f>
        <v>0.2048956108631216</v>
      </c>
      <c r="K19" s="9">
        <f>Assumptions!$B$10+($B$20-Assumptions!$B$10)*9/9</f>
        <v>0.20688909898868468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0.20688909898868468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503824853.5246728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1002180597.7900518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0.3376160785220554</v>
      </c>
    </row>
    <row r="7" spans="1:2" x14ac:dyDescent="0.25">
      <c r="A7" t="s">
        <v>66</v>
      </c>
      <c r="B7" s="18">
        <f>-MAX(B5,0)*B6</f>
        <v>-338352283.39676654</v>
      </c>
    </row>
    <row r="8" spans="1:2" x14ac:dyDescent="0.25">
      <c r="A8" t="s">
        <v>67</v>
      </c>
      <c r="B8" s="18">
        <f>IF(OR(Assumptions!$B$33=0,Assumptions!B12&lt;=0),B5,MAX(B5+B7,0))</f>
        <v>663828314.3932853</v>
      </c>
    </row>
    <row r="9" spans="1:2" x14ac:dyDescent="0.25">
      <c r="A9" t="s">
        <v>68</v>
      </c>
      <c r="B9" s="18">
        <f>B8*(1+Assumptions!B12)/(Assumptions!B26-Assumptions!B12)</f>
        <v>13872443619.267424</v>
      </c>
    </row>
    <row r="10" spans="1:2" x14ac:dyDescent="0.25">
      <c r="A10" t="s">
        <v>69</v>
      </c>
      <c r="B10" s="18">
        <f>B9/(1+Assumptions!B26)^(10-0.5*Assumptions!B32)</f>
        <v>7037616193.720766</v>
      </c>
    </row>
    <row r="11" spans="1:2" x14ac:dyDescent="0.25">
      <c r="A11" t="s">
        <v>70</v>
      </c>
      <c r="B11" s="18">
        <f>Forecast!B17+B10</f>
        <v>11210318322.05501</v>
      </c>
    </row>
    <row r="12" spans="1:2" x14ac:dyDescent="0.25">
      <c r="A12" t="s">
        <v>71</v>
      </c>
      <c r="B12" s="18">
        <f>-Assumptions!B30</f>
        <v>-13185000000</v>
      </c>
    </row>
    <row r="13" spans="1:2" x14ac:dyDescent="0.25">
      <c r="A13" t="s">
        <v>72</v>
      </c>
      <c r="B13" s="18">
        <f>B11+B12</f>
        <v>-1974681677.9449902</v>
      </c>
    </row>
    <row r="14" spans="1:2" x14ac:dyDescent="0.25">
      <c r="A14" s="19" t="s">
        <v>73</v>
      </c>
      <c r="B14" s="24">
        <f>B13/Assumptions!B31</f>
        <v>-1.686752949470394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4831900959.062633</v>
      </c>
    </row>
    <row r="18" spans="1:2" x14ac:dyDescent="0.25">
      <c r="A18" t="s">
        <v>68</v>
      </c>
      <c r="B18" s="18">
        <f>B17*Assumptions!B13</f>
        <v>55492012397.59058</v>
      </c>
    </row>
    <row r="19" spans="1:2" x14ac:dyDescent="0.25">
      <c r="A19" t="s">
        <v>69</v>
      </c>
      <c r="B19" s="18">
        <f>B18/(1+Assumptions!B26)^(10-0.5*Assumptions!B32)</f>
        <v>28151600092.216503</v>
      </c>
    </row>
    <row r="20" spans="1:2" x14ac:dyDescent="0.25">
      <c r="A20" t="s">
        <v>70</v>
      </c>
      <c r="B20" s="18">
        <f>Forecast!B17+B19</f>
        <v>32324302220.550747</v>
      </c>
    </row>
    <row r="21" spans="1:2" x14ac:dyDescent="0.25">
      <c r="A21" t="s">
        <v>71</v>
      </c>
      <c r="B21" s="18">
        <f>-Assumptions!B30</f>
        <v>-13185000000</v>
      </c>
    </row>
    <row r="22" spans="1:2" x14ac:dyDescent="0.25">
      <c r="A22" t="s">
        <v>72</v>
      </c>
      <c r="B22" s="18">
        <f>B20+B21</f>
        <v>19139302220.550747</v>
      </c>
    </row>
    <row r="23" spans="1:2" x14ac:dyDescent="0.25">
      <c r="A23" s="19" t="s">
        <v>73</v>
      </c>
      <c r="B23" s="25">
        <f>B22/Assumptions!B31</f>
        <v>16.3485967545492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19.035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-1.686752949470394</v>
      </c>
    </row>
    <row r="29" spans="1:2" x14ac:dyDescent="0.25">
      <c r="A29" s="19" t="s">
        <v>81</v>
      </c>
      <c r="B29" s="11">
        <f>B28/B26-1</f>
        <v>-1.0886132361161227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0.054049</v>
      </c>
      <c r="B5" s="31">
        <v>2.5203243297387536</v>
      </c>
      <c r="C5" s="31">
        <v>2.3099098187927987</v>
      </c>
      <c r="D5" s="31">
        <v>2.0994953078468415</v>
      </c>
      <c r="E5" s="31">
        <v>1.8890807969008847</v>
      </c>
      <c r="F5" s="31">
        <v>1.678666285954931</v>
      </c>
    </row>
    <row r="6" spans="1:6" x14ac:dyDescent="0.25">
      <c r="A6" s="30">
        <v>0.064049</v>
      </c>
      <c r="B6" s="31">
        <v>0.24013120368895607</v>
      </c>
      <c r="C6" s="31">
        <v>0.07242126726380724</v>
      </c>
      <c r="D6" s="31">
        <v>-0.0952886691613465</v>
      </c>
      <c r="E6" s="31">
        <v>-0.26299860558649696</v>
      </c>
      <c r="F6" s="31">
        <v>-0.4307085420116491</v>
      </c>
    </row>
    <row r="7" spans="1:6" x14ac:dyDescent="0.25">
      <c r="A7" s="30">
        <v>0.074049</v>
      </c>
      <c r="B7" s="31">
        <v>-1.41253867658598</v>
      </c>
      <c r="C7" s="31">
        <v>-1.5496728312384302</v>
      </c>
      <c r="D7" s="32">
        <v>-1.6868069858908854</v>
      </c>
      <c r="E7" s="31">
        <v>-1.8239411405433374</v>
      </c>
      <c r="F7" s="31">
        <v>-1.9610752951957926</v>
      </c>
    </row>
    <row r="8" spans="1:6" x14ac:dyDescent="0.25">
      <c r="A8" s="30">
        <v>0.084049</v>
      </c>
      <c r="B8" s="31">
        <v>-2.6626573079860223</v>
      </c>
      <c r="C8" s="31">
        <v>-2.7769726869009053</v>
      </c>
      <c r="D8" s="31">
        <v>-2.8912880658157913</v>
      </c>
      <c r="E8" s="31">
        <v>-3.0056034447306743</v>
      </c>
      <c r="F8" s="31">
        <v>-3.1199188236455573</v>
      </c>
    </row>
    <row r="9" spans="1:6" x14ac:dyDescent="0.25">
      <c r="A9" s="30">
        <v>0.094049</v>
      </c>
      <c r="B9" s="31">
        <v>-3.6394207056778463</v>
      </c>
      <c r="C9" s="31">
        <v>-3.736165377718583</v>
      </c>
      <c r="D9" s="31">
        <v>-3.8329100497593225</v>
      </c>
      <c r="E9" s="31">
        <v>-3.9296547218000595</v>
      </c>
      <c r="F9" s="31">
        <v>-4.026399393840799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14299900000</v>
      </c>
      <c r="C5" s="18">
        <v>14739300000</v>
      </c>
      <c r="D5" s="18">
        <v>15426900000</v>
      </c>
      <c r="E5" s="18">
        <v>16262700000</v>
      </c>
      <c r="F5" s="6" t="s">
        <v>91</v>
      </c>
    </row>
    <row r="6" spans="1:6" x14ac:dyDescent="0.25">
      <c r="A6" t="s">
        <v>51</v>
      </c>
      <c r="B6" s="18">
        <v>253500000</v>
      </c>
      <c r="C6" s="18">
        <v>710300000</v>
      </c>
      <c r="D6" s="18">
        <v>1563400000</v>
      </c>
      <c r="E6" s="18">
        <v>1655700000</v>
      </c>
      <c r="F6" s="6" t="s">
        <v>92</v>
      </c>
    </row>
    <row r="7" spans="1:6" x14ac:dyDescent="0.25">
      <c r="A7" t="s">
        <v>93</v>
      </c>
      <c r="B7" s="18">
        <v>2798300000</v>
      </c>
      <c r="C7" s="18">
        <v>2893200000</v>
      </c>
      <c r="D7" s="18">
        <v>2740500000</v>
      </c>
      <c r="E7" s="18">
        <v>3027600000</v>
      </c>
      <c r="F7" s="6" t="s">
        <v>94</v>
      </c>
    </row>
    <row r="8" spans="1:6" x14ac:dyDescent="0.25">
      <c r="A8" t="s">
        <v>95</v>
      </c>
      <c r="B8" s="18">
        <v>465100000</v>
      </c>
      <c r="C8" s="18">
        <v>359100000</v>
      </c>
      <c r="D8" s="18">
        <v>574900000</v>
      </c>
      <c r="E8" s="18">
        <v>489400000</v>
      </c>
      <c r="F8" s="6" t="s">
        <v>96</v>
      </c>
    </row>
    <row r="9" spans="1:6" x14ac:dyDescent="0.25">
      <c r="A9" t="s">
        <v>97</v>
      </c>
      <c r="B9" s="18">
        <v>686400000</v>
      </c>
      <c r="C9" s="18">
        <v>318600000</v>
      </c>
      <c r="D9" s="18">
        <v>711300000</v>
      </c>
      <c r="E9" s="18">
        <v>922600000</v>
      </c>
      <c r="F9" s="6" t="s">
        <v>98</v>
      </c>
    </row>
    <row r="10" spans="1:6" x14ac:dyDescent="0.25">
      <c r="A10" t="s">
        <v>99</v>
      </c>
      <c r="B10" s="18">
        <v>14698000000</v>
      </c>
      <c r="C10" s="18">
        <v>14305900000</v>
      </c>
      <c r="D10" s="18">
        <v>18371200000</v>
      </c>
      <c r="E10" s="18">
        <v>19527700000</v>
      </c>
      <c r="F10" s="6" t="s">
        <v>100</v>
      </c>
    </row>
    <row r="11" spans="1:6" x14ac:dyDescent="0.25">
      <c r="A11" t="s">
        <v>101</v>
      </c>
      <c r="B11" s="18">
        <v>1513000000</v>
      </c>
      <c r="C11" s="18">
        <v>1089900000</v>
      </c>
      <c r="D11" s="18">
        <v>1184400000</v>
      </c>
      <c r="E11" s="18">
        <v>1472500000</v>
      </c>
      <c r="F11" s="6" t="s">
        <v>102</v>
      </c>
    </row>
    <row r="12" spans="1:6" x14ac:dyDescent="0.25">
      <c r="A12" t="s">
        <v>34</v>
      </c>
      <c r="B12" s="34">
        <v>1170700000</v>
      </c>
      <c r="C12" s="34">
        <v>1193300000</v>
      </c>
      <c r="D12" s="34">
        <v>1206900000</v>
      </c>
      <c r="E12" s="34">
        <v>1217400000</v>
      </c>
      <c r="F12" s="6" t="s">
        <v>103</v>
      </c>
    </row>
    <row r="15" spans="1:1" x14ac:dyDescent="0.25">
      <c r="A15" s="19" t="s">
        <v>104</v>
      </c>
    </row>
    <row r="16" ht="70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