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<sst xmlns="http://schemas.openxmlformats.org/spreadsheetml/2006/main" count="112" uniqueCount="100">
  <si>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Viatris Inc. (VTRS)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</si>
  <si>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</si>
  <si>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</si>
  <si>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</si>
  <si>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</si>
  <si>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</si>
  <si>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</si>
  <si>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</si>
  <si>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</si>
  <si>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</si>
  <si>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</si>
  <si>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</si>
  <si>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</si>
  <si>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</si>
  <si>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</si>
  <si>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</si>
  <si>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</si>
  <si>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</si>
  <si>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</si>
  <si>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</si>
  <si>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</si>
  <si>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</si>
  <si>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</si>
  <si>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</si>
  <si>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</si>
  <si>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</si>
  <si>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</si>
  <si>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</si>
  <si>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</si>
  <si>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</si>
  <si>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</si>
  <si>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</si>
  <si>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</si>
  <si>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</si>
  <si>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</si>
  <si>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</si>
  <si>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</si>
  <si>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</si>
  <si>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</si>
  <si>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</si>
  <si>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</si>
  <si>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</si>
  <si>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</si>
  <si>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</si>
  <si>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</si>
  <si>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</si>
  <si>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</si>
  <si>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</si>
  <si>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</si>
  <si>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</si>
  <si>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</si>
  <si>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</si>
  <si>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</si>
  <si>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</si>
  <si>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</si>
  <si>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</si>
  <si>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</si>
  <si>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</si>
  <si>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</si>
  <si>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</si>
  <si>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</si>
  <si>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</si>
  <si>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</si>
  <si>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</si>
  <si>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</si>
  <si>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</si>
  <si>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</si>
  <si>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</si>
  <si>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</si>
  <si>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</si>
  <si>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</si>
  <si>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</si>
  <si>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</si>
  <si>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</si>
  <si>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</si>
  <si>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</si>
  <si>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</si>
  <si>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</si>
  <si>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</si>
  <si>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</si>
  <si>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</si>
  <si>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</si>
  <si>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</si>
  <si>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</si>
  <si>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</si>
  <si>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</si>
  <si>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</si>
  <si>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</si>
  <si>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</si>
  <si>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</si>
  <si>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</si>
  <si>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</si>
  <si>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</si>
  <si>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</si>
  <si>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</si>
  <si>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</si>
  <si>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</si>
  <si>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</si>
  <si>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3.11% of revenue against depreciation and amortisation of 18.89%. A business cannot depreciate more than it invests indefinitely. Capex has been set to 18.89%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</si>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</sst>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-0.04196777704087673</v>
      </c>
    </row>
    <row r="7" spans="1:2" x14ac:dyDescent="0.25">
      <c r="A7" t="s">
        <v>5</v>
      </c>
      <c r="B7" s="6">
        <v>0.06726760264112222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0.188947705858617</v>
      </c>
    </row>
    <row r="10" spans="1:2" x14ac:dyDescent="0.25">
      <c r="A10" t="s">
        <v>8</v>
      </c>
      <c r="B10" s="6">
        <v>0.188947705858617</v>
      </c>
    </row>
    <row r="11" spans="1:2" x14ac:dyDescent="0.25">
      <c r="A11" t="s">
        <v>9</v>
      </c>
      <c r="B11" s="6">
        <v>-0.8510409188801149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10.699788872141031</v>
      </c>
    </row>
    <row r="14" spans="1:3" x14ac:dyDescent="0.25">
      <c r="A14" t="s">
        <v>12</v>
      </c>
      <c r="B14" s="6">
        <v>0.07434789873261642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0.92161</v>
      </c>
      <c r="C19" s="8" t="s">
        <v>19</v>
      </c>
    </row>
    <row r="20" spans="1:2" x14ac:dyDescent="0.25">
      <c r="A20" t="s">
        <v>20</v>
      </c>
      <c r="B20" s="10">
        <f>B17+B19*B18</f>
        <v>0.10066855000000001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19468615680</v>
      </c>
    </row>
    <row r="23" spans="1:2" x14ac:dyDescent="0.25">
      <c r="A23" t="s">
        <v>24</v>
      </c>
      <c r="B23" s="11">
        <v>14698000000</v>
      </c>
    </row>
    <row r="24" spans="1:2" x14ac:dyDescent="0.25">
      <c r="A24" t="s">
        <v>25</v>
      </c>
      <c r="B24" s="10">
        <f>B22/(B22+B23)</f>
        <v>0.5698139921829097</v>
      </c>
    </row>
    <row r="25" spans="1:2" x14ac:dyDescent="0.25">
      <c r="A25" t="s">
        <v>26</v>
      </c>
      <c r="B25" s="10">
        <f>1-B24</f>
        <v>0.43018600781709027</v>
      </c>
    </row>
    <row r="26" spans="1:2" x14ac:dyDescent="0.25">
      <c r="A26" t="s">
        <v>27</v>
      </c>
      <c r="B26" s="12">
        <f>B24*B20+B25*B21*(1-B8)</f>
        <v>0.07434789873261642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14299900000</v>
      </c>
      <c r="C29" s="8" t="s">
        <v>30</v>
      </c>
    </row>
    <row r="30" spans="1:2" x14ac:dyDescent="0.25">
      <c r="A30" t="s">
        <v>31</v>
      </c>
      <c r="B30" s="11">
        <v>13185000000</v>
      </c>
    </row>
    <row r="31" spans="1:2" x14ac:dyDescent="0.25">
      <c r="A31" t="s">
        <v>32</v>
      </c>
      <c r="B31" s="13">
        <v>1170700000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-0.04196777704087673</v>
      </c>
      <c r="C5" s="10">
        <f>Assumptions!B6</f>
        <v>-0.04196777704087673</v>
      </c>
      <c r="D5" s="10">
        <f>Assumptions!B6</f>
        <v>-0.04196777704087673</v>
      </c>
      <c r="E5" s="10">
        <f>Assumptions!B6</f>
        <v>-0.04196777704087673</v>
      </c>
      <c r="F5" s="10">
        <f>Assumptions!B6</f>
        <v>-0.04196777704087673</v>
      </c>
    </row>
    <row r="6" spans="1:6" x14ac:dyDescent="0.25">
      <c r="A6" t="s">
        <v>43</v>
      </c>
      <c r="B6" s="18">
        <f>Assumptions!B29*(1+B5)</f>
        <v>13699764985.093166</v>
      </c>
      <c r="C6" s="18">
        <f>B6*(1+C5)</f>
        <v>13124816302.686367</v>
      </c>
      <c r="D6" s="18">
        <f>C6*(1+D5)</f>
        <v>12573996938.392761</v>
      </c>
      <c r="E6" s="18">
        <f>D6*(1+E5)</f>
        <v>12046294238.369627</v>
      </c>
      <c r="F6" s="18">
        <f>E6*(1+F5)</f>
        <v>11540738047.604933</v>
      </c>
    </row>
    <row r="7" spans="1:6" x14ac:dyDescent="0.25">
      <c r="A7" t="s">
        <v>5</v>
      </c>
      <c r="B7" s="10">
        <f>Assumptions!B7</f>
        <v>0.06726760264112222</v>
      </c>
      <c r="C7" s="10">
        <f>Assumptions!B7</f>
        <v>0.06726760264112222</v>
      </c>
      <c r="D7" s="10">
        <f>Assumptions!B7</f>
        <v>0.06726760264112222</v>
      </c>
      <c r="E7" s="10">
        <f>Assumptions!B7</f>
        <v>0.06726760264112222</v>
      </c>
      <c r="F7" s="10">
        <f>Assumptions!B7</f>
        <v>0.06726760264112222</v>
      </c>
    </row>
    <row r="8" spans="1:6" x14ac:dyDescent="0.25">
      <c r="A8" t="s">
        <v>44</v>
      </c>
      <c r="B8" s="18">
        <f>B6*B7</f>
        <v>921550347.2940068</v>
      </c>
      <c r="C8" s="18">
        <f>C6*C7</f>
        <v>882874927.7868295</v>
      </c>
      <c r="D8" s="18">
        <f>D6*D7</f>
        <v>845822629.6624917</v>
      </c>
      <c r="E8" s="18">
        <f>E6*E7</f>
        <v>810325334.1246881</v>
      </c>
      <c r="F8" s="18">
        <f>F6*F7</f>
        <v>776317781.1715692</v>
      </c>
    </row>
    <row r="9" spans="1:6" x14ac:dyDescent="0.25">
      <c r="A9" t="s">
        <v>45</v>
      </c>
      <c r="B9" s="18">
        <f>B8*(1-Assumptions!B8)</f>
        <v>728024774.3622655</v>
      </c>
      <c r="C9" s="18">
        <f>C8*(1-Assumptions!B8)</f>
        <v>697471192.9515953</v>
      </c>
      <c r="D9" s="18">
        <f>D8*(1-Assumptions!B8)</f>
        <v>668199877.4333684</v>
      </c>
      <c r="E9" s="18">
        <f>E8*(1-Assumptions!B8)</f>
        <v>640157013.9585037</v>
      </c>
      <c r="F9" s="18">
        <f>F8*(1-Assumptions!B8)</f>
        <v>613291047.1255397</v>
      </c>
    </row>
    <row r="10" spans="1:6" x14ac:dyDescent="0.25">
      <c r="A10" t="s">
        <v>46</v>
      </c>
      <c r="B10" s="18">
        <f>B6*Assumptions!B9</f>
        <v>2588539164.735564</v>
      </c>
      <c r="C10" s="18">
        <f>C6*Assumptions!B9</f>
        <v>2479903930.208365</v>
      </c>
      <c r="D10" s="18">
        <f>D6*Assumptions!B9</f>
        <v>2375827874.9825864</v>
      </c>
      <c r="E10" s="18">
        <f>E6*Assumptions!B9</f>
        <v>2276119660.437817</v>
      </c>
      <c r="F10" s="18">
        <f>F6*Assumptions!B9</f>
        <v>2180595978.0102067</v>
      </c>
    </row>
    <row r="11" spans="1:6" x14ac:dyDescent="0.25">
      <c r="A11" t="s">
        <v>47</v>
      </c>
      <c r="B11" s="18">
        <f>-B6*Assumptions!B10</f>
        <v>-2588539164.735564</v>
      </c>
      <c r="C11" s="18">
        <f>-C6*Assumptions!B10</f>
        <v>-2479903930.208365</v>
      </c>
      <c r="D11" s="18">
        <f>-D6*Assumptions!B10</f>
        <v>-2375827874.9825864</v>
      </c>
      <c r="E11" s="18">
        <f>-E6*Assumptions!B10</f>
        <v>-2276119660.437817</v>
      </c>
      <c r="F11" s="18">
        <f>-F6*Assumptions!B10</f>
        <v>-2180595978.0102067</v>
      </c>
    </row>
    <row r="12" spans="1:6" x14ac:dyDescent="0.25">
      <c r="A12" t="s">
        <v>48</v>
      </c>
      <c r="B12" s="18">
        <f>-(B6-Assumptions!B29)*Assumptions!B11</f>
        <v>-510739454.53844315</v>
      </c>
      <c r="C12" s="18">
        <f>-(C6-B6)*Assumptions!B11</f>
        <v>-489304854.98439384</v>
      </c>
      <c r="D12" s="18">
        <f>-(D6-C6)*Assumptions!B11</f>
        <v>-468769817.925391</v>
      </c>
      <c r="E12" s="18">
        <f>-(E6-D6)*Assumptions!B11</f>
        <v>-449096590.7232058</v>
      </c>
      <c r="F12" s="18">
        <f>-(F6-E6)*Assumptions!B11</f>
        <v>-430249005.133916</v>
      </c>
    </row>
    <row r="13" spans="1:6" x14ac:dyDescent="0.25">
      <c r="A13" s="19" t="s">
        <v>49</v>
      </c>
      <c r="B13" s="20">
        <f>B9+B10+B11+B12</f>
        <v>217285319.82382244</v>
      </c>
      <c r="C13" s="20">
        <f>C9+C10+C11+C12</f>
        <v>208166337.96720147</v>
      </c>
      <c r="D13" s="20">
        <f>D9+D10+D11+D12</f>
        <v>199430059.5079772</v>
      </c>
      <c r="E13" s="20">
        <f>E9+E10+E11+E12</f>
        <v>191060423.23529792</v>
      </c>
      <c r="F13" s="20">
        <f>F9+F10+F11+F12</f>
        <v>183042041.99162376</v>
      </c>
    </row>
    <row r="14" spans="1:6" x14ac:dyDescent="0.25">
      <c r="A14" t="s">
        <v>50</v>
      </c>
      <c r="B14" s="21">
        <f>1/(1+Assumptions!$B$26)^(1-0.5*Assumptions!$B$32)</f>
        <v>0.9647783088039983</v>
      </c>
      <c r="C14" s="21">
        <f>1/(1+Assumptions!$B$26)^(2-0.5*Assumptions!$B$32)</f>
        <v>0.8980129341176403</v>
      </c>
      <c r="D14" s="21">
        <f>1/(1+Assumptions!$B$26)^(3-0.5*Assumptions!$B$32)</f>
        <v>0.8358679112948473</v>
      </c>
      <c r="E14" s="21">
        <f>1/(1+Assumptions!$B$26)^(4-0.5*Assumptions!$B$32)</f>
        <v>0.7780234989810111</v>
      </c>
      <c r="F14" s="21">
        <f>1/(1+Assumptions!$B$26)^(5-0.5*Assumptions!$B$32)</f>
        <v>0.7241820828232898</v>
      </c>
    </row>
    <row r="15" spans="1:6" x14ac:dyDescent="0.25">
      <c r="A15" s="19" t="s">
        <v>51</v>
      </c>
      <c r="B15" s="20">
        <f>B13*B14</f>
        <v>209632163.3875633</v>
      </c>
      <c r="C15" s="20">
        <f>C13*C14</f>
        <v>186936063.94245094</v>
      </c>
      <c r="D15" s="20">
        <f>D13*D14</f>
        <v>166697187.29033998</v>
      </c>
      <c r="E15" s="20">
        <f>E13*E14</f>
        <v>148649499.00231937</v>
      </c>
      <c r="F15" s="20">
        <f>F13*F14</f>
        <v>132555767.21372217</v>
      </c>
    </row>
    <row r="17" spans="1:2" x14ac:dyDescent="0.25">
      <c r="A17" s="22" t="s">
        <v>52</v>
      </c>
      <c r="B17" s="23">
        <f>SUM(B15:F15)</f>
        <v>844470680.8363957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183042041.99162376</v>
      </c>
    </row>
    <row r="5" spans="1:2" x14ac:dyDescent="0.25">
      <c r="A5" t="s">
        <v>56</v>
      </c>
      <c r="B5" s="18">
        <f>IF(Assumptions!$B$33=0,B4,B4-Forecast!F11-Forecast!F10-Forecast!F12)</f>
        <v>613291047.1255397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0.33625698138301924</v>
      </c>
    </row>
    <row r="7" spans="1:2" x14ac:dyDescent="0.25">
      <c r="A7" t="s">
        <v>58</v>
      </c>
      <c r="B7" s="18">
        <f>-MAX(Forecast!F9,0)*B6</f>
        <v>-206223396.21566495</v>
      </c>
    </row>
    <row r="8" spans="1:2" x14ac:dyDescent="0.25">
      <c r="A8" t="s">
        <v>59</v>
      </c>
      <c r="B8" s="18">
        <f>IF(OR(Assumptions!$B$33=0,Assumptions!B12&lt;=0),B5,MAX(B5+B7,0))</f>
        <v>407067650.9098747</v>
      </c>
    </row>
    <row r="9" spans="1:2" x14ac:dyDescent="0.25">
      <c r="A9" t="s">
        <v>60</v>
      </c>
      <c r="B9" s="18">
        <f>B8*(1+Assumptions!B12)/(Assumptions!B26-Assumptions!B12)</f>
        <v>8455159244.842262</v>
      </c>
    </row>
    <row r="10" spans="1:2" x14ac:dyDescent="0.25">
      <c r="A10" t="s">
        <v>61</v>
      </c>
      <c r="B10" s="18">
        <f>B9/(1+Assumptions!B26)^(5-0.5*Assumptions!B32)</f>
        <v>6123074832.532463</v>
      </c>
    </row>
    <row r="11" spans="1:2" x14ac:dyDescent="0.25">
      <c r="A11" t="s">
        <v>62</v>
      </c>
      <c r="B11" s="18">
        <f>Forecast!B17+B10</f>
        <v>6967545513.368858</v>
      </c>
    </row>
    <row r="12" spans="1:2" x14ac:dyDescent="0.25">
      <c r="A12" t="s">
        <v>63</v>
      </c>
      <c r="B12" s="18">
        <f>-Assumptions!B30</f>
        <v>-13185000000</v>
      </c>
    </row>
    <row r="13" spans="1:2" x14ac:dyDescent="0.25">
      <c r="A13" t="s">
        <v>64</v>
      </c>
      <c r="B13" s="18">
        <f>B11+B12</f>
        <v>-6217454486.631142</v>
      </c>
    </row>
    <row r="14" spans="1:2" x14ac:dyDescent="0.25">
      <c r="A14" s="19" t="s">
        <v>65</v>
      </c>
      <c r="B14" s="24">
        <f>B13/Assumptions!B31</f>
        <v>-5.310886210498968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2956913759.181776</v>
      </c>
    </row>
    <row r="18" spans="1:2" x14ac:dyDescent="0.25">
      <c r="A18" t="s">
        <v>60</v>
      </c>
      <c r="B18" s="18">
        <f>B17*Assumptions!B13</f>
        <v>31638352936.37387</v>
      </c>
    </row>
    <row r="19" spans="1:2" x14ac:dyDescent="0.25">
      <c r="A19" t="s">
        <v>61</v>
      </c>
      <c r="B19" s="18">
        <f>B18/(1+Assumptions!B26)^(5-0.5*Assumptions!B32)</f>
        <v>22911928326.561577</v>
      </c>
    </row>
    <row r="20" spans="1:2" x14ac:dyDescent="0.25">
      <c r="A20" t="s">
        <v>62</v>
      </c>
      <c r="B20" s="18">
        <f>Forecast!B17+B19</f>
        <v>23756399007.397972</v>
      </c>
    </row>
    <row r="21" spans="1:2" x14ac:dyDescent="0.25">
      <c r="A21" t="s">
        <v>63</v>
      </c>
      <c r="B21" s="18">
        <f>-Assumptions!B30</f>
        <v>-13185000000</v>
      </c>
    </row>
    <row r="22" spans="1:2" x14ac:dyDescent="0.25">
      <c r="A22" t="s">
        <v>64</v>
      </c>
      <c r="B22" s="18">
        <f>B20+B21</f>
        <v>10571399007.397972</v>
      </c>
    </row>
    <row r="23" spans="1:2" x14ac:dyDescent="0.25">
      <c r="A23" s="19" t="s">
        <v>65</v>
      </c>
      <c r="B23" s="25">
        <f>B22/Assumptions!B31</f>
        <v>9.029981214143652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-5.310886210498968</v>
      </c>
    </row>
    <row r="29" spans="1:2" x14ac:dyDescent="0.25">
      <c r="A29" s="19" t="s">
        <v>73</v>
      </c>
      <c r="B29" s="12">
        <f>B28/B26-1</f>
        <v>-1.3133266200884348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0.054348</v>
      </c>
      <c r="B5" s="31">
        <v>-2.7990507980235844</v>
      </c>
      <c r="C5" s="31">
        <v>-2.761068648369725</v>
      </c>
      <c r="D5" s="31">
        <v>-2.723086498715865</v>
      </c>
      <c r="E5" s="31">
        <v>-2.6851043490620072</v>
      </c>
      <c r="F5" s="31">
        <v>-2.647122199408151</v>
      </c>
    </row>
    <row r="6" spans="1:6" x14ac:dyDescent="0.25">
      <c r="A6" s="30">
        <v>0.064348</v>
      </c>
      <c r="B6" s="31">
        <v>-4.284292685635657</v>
      </c>
      <c r="C6" s="31">
        <v>-4.253547328664463</v>
      </c>
      <c r="D6" s="31">
        <v>-4.222801971693273</v>
      </c>
      <c r="E6" s="31">
        <v>-4.192056614722079</v>
      </c>
      <c r="F6" s="31">
        <v>-4.161311257750889</v>
      </c>
    </row>
    <row r="7" spans="1:6" x14ac:dyDescent="0.25">
      <c r="A7" s="30">
        <v>0.074348</v>
      </c>
      <c r="B7" s="31">
        <v>-5.361922621936778</v>
      </c>
      <c r="C7" s="31">
        <v>-5.3364091647170815</v>
      </c>
      <c r="D7" s="32">
        <v>-5.310895707497385</v>
      </c>
      <c r="E7" s="31">
        <v>-5.285382250277686</v>
      </c>
      <c r="F7" s="31">
        <v>-5.25986879305799</v>
      </c>
    </row>
    <row r="8" spans="1:6" x14ac:dyDescent="0.25">
      <c r="A8" s="30">
        <v>0.084348</v>
      </c>
      <c r="B8" s="31">
        <v>-6.177340435353987</v>
      </c>
      <c r="C8" s="31">
        <v>-6.155770087491415</v>
      </c>
      <c r="D8" s="31">
        <v>-6.134199739628844</v>
      </c>
      <c r="E8" s="31">
        <v>-6.112629391766272</v>
      </c>
      <c r="F8" s="31">
        <v>-6.091059043903702</v>
      </c>
    </row>
    <row r="9" spans="1:6" x14ac:dyDescent="0.25">
      <c r="A9" s="30">
        <v>0.094348</v>
      </c>
      <c r="B9" s="31">
        <v>-6.8142761679687425</v>
      </c>
      <c r="C9" s="31">
        <v>-6.795772458791687</v>
      </c>
      <c r="D9" s="31">
        <v>-6.777268749614629</v>
      </c>
      <c r="E9" s="31">
        <v>-6.758765040437574</v>
      </c>
      <c r="F9" s="31">
        <v>-6.740261331260517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14299900000</v>
      </c>
      <c r="C5" s="18">
        <v>14739300000</v>
      </c>
      <c r="D5" s="18">
        <v>15426900000</v>
      </c>
      <c r="E5" s="18">
        <v>16262700000</v>
      </c>
      <c r="F5" s="8" t="s">
        <v>84</v>
      </c>
    </row>
    <row r="6" spans="1:6" x14ac:dyDescent="0.25">
      <c r="A6" t="s">
        <v>44</v>
      </c>
      <c r="B6" s="18">
        <v>253500000</v>
      </c>
      <c r="C6" s="18">
        <v>710300000</v>
      </c>
      <c r="D6" s="18">
        <v>1563400000</v>
      </c>
      <c r="E6" s="18">
        <v>1655700000</v>
      </c>
      <c r="F6" s="8" t="s">
        <v>85</v>
      </c>
    </row>
    <row r="7" spans="1:6" x14ac:dyDescent="0.25">
      <c r="A7" t="s">
        <v>86</v>
      </c>
      <c r="B7" s="18">
        <v>2798300000</v>
      </c>
      <c r="C7" s="18">
        <v>2893200000</v>
      </c>
      <c r="D7" s="18">
        <v>2740500000</v>
      </c>
      <c r="E7" s="18">
        <v>3027600000</v>
      </c>
      <c r="F7" s="8" t="s">
        <v>87</v>
      </c>
    </row>
    <row r="8" spans="1:6" x14ac:dyDescent="0.25">
      <c r="A8" t="s">
        <v>88</v>
      </c>
      <c r="B8" s="18">
        <v>465100000</v>
      </c>
      <c r="C8" s="18">
        <v>359100000</v>
      </c>
      <c r="D8" s="18">
        <v>574900000</v>
      </c>
      <c r="E8" s="18">
        <v>489400000</v>
      </c>
      <c r="F8" s="8" t="s">
        <v>89</v>
      </c>
    </row>
    <row r="9" spans="1:6" x14ac:dyDescent="0.25">
      <c r="A9" t="s">
        <v>90</v>
      </c>
      <c r="B9" s="18">
        <v>686400000</v>
      </c>
      <c r="C9" s="18">
        <v>318600000</v>
      </c>
      <c r="D9" s="18">
        <v>711300000</v>
      </c>
      <c r="E9" s="18">
        <v>922600000</v>
      </c>
      <c r="F9" s="8" t="s">
        <v>91</v>
      </c>
    </row>
    <row r="10" spans="1:6" x14ac:dyDescent="0.25">
      <c r="A10" t="s">
        <v>92</v>
      </c>
      <c r="B10" s="18">
        <v>14698000000</v>
      </c>
      <c r="C10" s="18">
        <v>14305900000</v>
      </c>
      <c r="D10" s="18">
        <v>18371200000</v>
      </c>
      <c r="E10" s="18">
        <v>19527700000</v>
      </c>
      <c r="F10" s="8" t="s">
        <v>93</v>
      </c>
    </row>
    <row r="11" spans="1:6" x14ac:dyDescent="0.25">
      <c r="A11" t="s">
        <v>94</v>
      </c>
      <c r="B11" s="18">
        <v>1513000000</v>
      </c>
      <c r="C11" s="18">
        <v>1089900000</v>
      </c>
      <c r="D11" s="18">
        <v>1184400000</v>
      </c>
      <c r="E11" s="18">
        <v>1472500000</v>
      </c>
      <c r="F11" s="8" t="s">
        <v>95</v>
      </c>
    </row>
    <row r="12" spans="1:6" x14ac:dyDescent="0.25">
      <c r="A12" t="s">
        <v>32</v>
      </c>
      <c r="B12" s="34">
        <v>1170700000</v>
      </c>
      <c r="C12" s="34">
        <v>1193300000</v>
      </c>
      <c r="D12" s="34">
        <v>1206900000</v>
      </c>
      <c r="E12" s="34">
        <v>1217400000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