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<sst xmlns="http://schemas.openxmlformats.org/spreadsheetml/2006/main" count="119" uniqueCount="106">
  <si>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Verizon Communications Inc. (VZ)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</si>
  <si>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</si>
  <si>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</si>
  <si>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</si>
  <si>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</si>
  <si>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</si>
  <si>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</si>
  <si>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</si>
  <si>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</si>
  <si>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</si>
  <si>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</si>
  <si>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</si>
  <si>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</si>
  <si>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</si>
  <si>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</si>
  <si>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</si>
  <si>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</si>
  <si>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</si>
  <si>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</si>
  <si>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</si>
  <si>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</si>
  <si>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</si>
  <si>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</si>
  <si>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</si>
  <si>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+ 78bp, the spread for a A rating at 4.4x interest cover. Book interest / average debt was lower, at 3.8%.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</si>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</sst>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0.014072872835423356</v>
      </c>
    </row>
    <row r="7" spans="1:2" x14ac:dyDescent="0.25">
      <c r="A7" t="s">
        <v>4</v>
      </c>
      <c r="B7" s="5">
        <v>0.21539046022600983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0.13050760285170612</v>
      </c>
    </row>
    <row r="10" spans="1:3" x14ac:dyDescent="0.25">
      <c r="A10" t="s">
        <v>7</v>
      </c>
      <c r="B10" s="5">
        <v>0.15964558544532906</v>
      </c>
      <c r="C10" s="6" t="s">
        <v>8</v>
      </c>
    </row>
    <row r="11" spans="1:2" x14ac:dyDescent="0.25">
      <c r="A11" t="s">
        <v>9</v>
      </c>
      <c r="B11" s="5">
        <v>0.1301955532849443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7.309336169383297</v>
      </c>
    </row>
    <row r="14" spans="1:3" x14ac:dyDescent="0.25">
      <c r="A14" t="s">
        <v>12</v>
      </c>
      <c r="B14" s="5">
        <v>0.09324294349532725</v>
      </c>
      <c r="C14" s="6" t="s">
        <v>13</v>
      </c>
    </row>
    <row r="15" spans="1:3" x14ac:dyDescent="0.25">
      <c r="A15" t="s">
        <v>14</v>
      </c>
      <c r="B15" s="5">
        <v>0.11033152907549541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0.49615999999999993</v>
      </c>
      <c r="C19" s="6" t="s">
        <v>21</v>
      </c>
    </row>
    <row r="20" spans="1:2" x14ac:dyDescent="0.25">
      <c r="A20" t="s">
        <v>22</v>
      </c>
      <c r="B20" s="9">
        <f>B17+B19*B18</f>
        <v>0.069927568</v>
      </c>
    </row>
    <row r="21" spans="1:3" x14ac:dyDescent="0.25">
      <c r="A21" t="s">
        <v>23</v>
      </c>
      <c r="B21" s="5">
        <v>0.056740000000000006</v>
      </c>
      <c r="C21" s="6" t="s">
        <v>24</v>
      </c>
    </row>
    <row r="22" spans="1:2" x14ac:dyDescent="0.25">
      <c r="A22" t="s">
        <v>25</v>
      </c>
      <c r="B22" s="10">
        <v>185387876352</v>
      </c>
    </row>
    <row r="23" spans="1:2" x14ac:dyDescent="0.25">
      <c r="A23" t="s">
        <v>26</v>
      </c>
      <c r="B23" s="10">
        <v>181643000000</v>
      </c>
    </row>
    <row r="24" spans="1:2" x14ac:dyDescent="0.25">
      <c r="A24" t="s">
        <v>27</v>
      </c>
      <c r="B24" s="9">
        <f>B22/(B22+B23)</f>
        <v>0.505101582173714</v>
      </c>
    </row>
    <row r="25" spans="1:2" x14ac:dyDescent="0.25">
      <c r="A25" t="s">
        <v>28</v>
      </c>
      <c r="B25" s="9">
        <f>1-B24</f>
        <v>0.49489841782628596</v>
      </c>
    </row>
    <row r="26" spans="1:2" x14ac:dyDescent="0.25">
      <c r="A26" t="s">
        <v>29</v>
      </c>
      <c r="B26" s="11">
        <f>B24*B20+B25*B21*(1-B8)</f>
        <v>0.057504148854056115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138191000000</v>
      </c>
      <c r="C29" s="6" t="s">
        <v>32</v>
      </c>
    </row>
    <row r="30" spans="1:2" x14ac:dyDescent="0.25">
      <c r="A30" t="s">
        <v>33</v>
      </c>
      <c r="B30" s="10">
        <v>162595000000</v>
      </c>
    </row>
    <row r="31" spans="1:2" x14ac:dyDescent="0.25">
      <c r="A31" t="s">
        <v>34</v>
      </c>
      <c r="B31" s="12">
        <v>4231000000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0.014072872835423356</v>
      </c>
      <c r="C5" s="5">
        <v>0.01928777052672248</v>
      </c>
      <c r="D5" s="5">
        <v>0.02000179921088217</v>
      </c>
      <c r="E5" s="5">
        <v>0.02071582789504186</v>
      </c>
      <c r="F5" s="5">
        <v>0.021429856579201552</v>
      </c>
      <c r="G5" s="5">
        <v>0.02214388526336124</v>
      </c>
      <c r="H5" s="5">
        <v>0.02285791394752093</v>
      </c>
      <c r="I5" s="5">
        <v>0.023571942631680623</v>
      </c>
      <c r="J5" s="5">
        <v>0.024285971315840312</v>
      </c>
      <c r="K5" s="5">
        <v>0.025</v>
      </c>
    </row>
    <row r="6" spans="1:11" x14ac:dyDescent="0.25">
      <c r="A6" t="s">
        <v>50</v>
      </c>
      <c r="B6" s="18">
        <f>Assumptions!B29*(1+B5)</f>
        <v>140135744370</v>
      </c>
      <c r="C6" s="18">
        <f>B6*(1+C5)</f>
        <v>142838650450</v>
      </c>
      <c r="D6" s="18">
        <f>C6*(1+D5)</f>
        <v>145695680455.85428</v>
      </c>
      <c r="E6" s="18">
        <f>D6*(1+E5)</f>
        <v>148713887097.22876</v>
      </c>
      <c r="F6" s="18">
        <f>E6*(1+F5)</f>
        <v>151900804369.05792</v>
      </c>
      <c r="G6" s="18">
        <f>F6*(1+G5)</f>
        <v>155264478352.41864</v>
      </c>
      <c r="H6" s="18">
        <f>G6*(1+H5)</f>
        <v>158813500437.70496</v>
      </c>
      <c r="I6" s="18">
        <f>H6*(1+I5)</f>
        <v>162557043159.15894</v>
      </c>
      <c r="J6" s="18">
        <f>I6*(1+J5)</f>
        <v>166504898846.51007</v>
      </c>
      <c r="K6" s="18">
        <f>J6*(1+K5)</f>
        <v>170667521317.67282</v>
      </c>
    </row>
    <row r="7" spans="1:11" x14ac:dyDescent="0.25">
      <c r="A7" t="s">
        <v>4</v>
      </c>
      <c r="B7" s="9">
        <f>Assumptions!B7</f>
        <v>0.21539046022600983</v>
      </c>
      <c r="C7" s="9">
        <f>Assumptions!B7</f>
        <v>0.21539046022600983</v>
      </c>
      <c r="D7" s="9">
        <f>Assumptions!B7</f>
        <v>0.21539046022600983</v>
      </c>
      <c r="E7" s="9">
        <f>Assumptions!B7</f>
        <v>0.21539046022600983</v>
      </c>
      <c r="F7" s="9">
        <f>Assumptions!B7</f>
        <v>0.21539046022600983</v>
      </c>
      <c r="G7" s="9">
        <f>Assumptions!B7</f>
        <v>0.21539046022600983</v>
      </c>
      <c r="H7" s="9">
        <f>Assumptions!B7</f>
        <v>0.21539046022600983</v>
      </c>
      <c r="I7" s="9">
        <f>Assumptions!B7</f>
        <v>0.21539046022600983</v>
      </c>
      <c r="J7" s="9">
        <f>Assumptions!B7</f>
        <v>0.21539046022600983</v>
      </c>
      <c r="K7" s="9">
        <f>Assumptions!B7</f>
        <v>0.21539046022600983</v>
      </c>
    </row>
    <row r="8" spans="1:11" x14ac:dyDescent="0.25">
      <c r="A8" t="s">
        <v>51</v>
      </c>
      <c r="B8" s="18">
        <f>B6*B7</f>
        <v>30183902473.968765</v>
      </c>
      <c r="C8" s="18">
        <f>C6*C7</f>
        <v>30766082658.487644</v>
      </c>
      <c r="D8" s="18">
        <f>D6*D7</f>
        <v>31381459666.328117</v>
      </c>
      <c r="E8" s="18">
        <f>E6*E7</f>
        <v>32031552583.870968</v>
      </c>
      <c r="F8" s="18">
        <f>F6*F7</f>
        <v>32717984161.752472</v>
      </c>
      <c r="G8" s="18">
        <f>G6*G7</f>
        <v>33442487449.078793</v>
      </c>
      <c r="H8" s="18">
        <f>H6*H7</f>
        <v>34206912949.380882</v>
      </c>
      <c r="I8" s="18">
        <f>I6*I7</f>
        <v>35013236339.03059</v>
      </c>
      <c r="J8" s="18">
        <f>J6*J7</f>
        <v>35863566792.43502</v>
      </c>
      <c r="K8" s="18">
        <f>K6*K7</f>
        <v>36760155962.245895</v>
      </c>
    </row>
    <row r="9" spans="1:11" x14ac:dyDescent="0.25">
      <c r="A9" t="s">
        <v>52</v>
      </c>
      <c r="B9" s="18">
        <f>B8*(1-Assumptions!B8)</f>
        <v>23845282954.435326</v>
      </c>
      <c r="C9" s="18">
        <f>C8*(1-Assumptions!B8)</f>
        <v>24305205300.20524</v>
      </c>
      <c r="D9" s="18">
        <f>D8*(1-Assumptions!B8)</f>
        <v>24791353136.399216</v>
      </c>
      <c r="E9" s="18">
        <f>E8*(1-Assumptions!B8)</f>
        <v>25304926541.258064</v>
      </c>
      <c r="F9" s="18">
        <f>F8*(1-Assumptions!B8)</f>
        <v>25847207487.784454</v>
      </c>
      <c r="G9" s="18">
        <f>G8*(1-Assumptions!B8)</f>
        <v>26419565084.772247</v>
      </c>
      <c r="H9" s="18">
        <f>H8*(1-Assumptions!B8)</f>
        <v>27023461230.0109</v>
      </c>
      <c r="I9" s="18">
        <f>I8*(1-Assumptions!B8)</f>
        <v>27660456707.834164</v>
      </c>
      <c r="J9" s="18">
        <f>J8*(1-Assumptions!B8)</f>
        <v>28332217766.023666</v>
      </c>
      <c r="K9" s="18">
        <f>K8*(1-Assumptions!B8)</f>
        <v>29040523210.17426</v>
      </c>
    </row>
    <row r="10" spans="1:11" x14ac:dyDescent="0.25">
      <c r="A10" t="s">
        <v>53</v>
      </c>
      <c r="B10" s="18">
        <f>B6*Assumptions!B9</f>
        <v>18288780071.568172</v>
      </c>
      <c r="C10" s="18">
        <f>C6*Assumptions!B9</f>
        <v>18641529864.802273</v>
      </c>
      <c r="D10" s="18">
        <f>D6*Assumptions!B9</f>
        <v>19014394002.141712</v>
      </c>
      <c r="E10" s="18">
        <f>E6*Assumptions!B9</f>
        <v>19408292915.818596</v>
      </c>
      <c r="F10" s="18">
        <f>F6*Assumptions!B9</f>
        <v>19824209849.451717</v>
      </c>
      <c r="G10" s="18">
        <f>G6*Assumptions!B9</f>
        <v>20263194877.794773</v>
      </c>
      <c r="H10" s="18">
        <f>H6*Assumptions!B9</f>
        <v>20726369242.613255</v>
      </c>
      <c r="I10" s="18">
        <f>I6*Assumptions!B9</f>
        <v>21214930029.363167</v>
      </c>
      <c r="J10" s="18">
        <f>J6*Assumptions!B9</f>
        <v>21730155211.523838</v>
      </c>
      <c r="K10" s="18">
        <f>K6*Assumptions!B9</f>
        <v>22273409091.81193</v>
      </c>
    </row>
    <row r="11" spans="1:11" x14ac:dyDescent="0.25">
      <c r="A11" t="s">
        <v>54</v>
      </c>
      <c r="B11" s="18">
        <f>-B6*B19</f>
        <v>-22372052951.765625</v>
      </c>
      <c r="C11" s="18">
        <f>-C6*C19</f>
        <v>-22812794131.21613</v>
      </c>
      <c r="D11" s="18">
        <f>-D6*D19</f>
        <v>-23278509914.50537</v>
      </c>
      <c r="E11" s="18">
        <f>-E6*E19</f>
        <v>-23770357494.577106</v>
      </c>
      <c r="F11" s="18">
        <f>-F6*F19</f>
        <v>-24289572847.658104</v>
      </c>
      <c r="G11" s="18">
        <f>-G6*G19</f>
        <v>-24837475816.007</v>
      </c>
      <c r="H11" s="18">
        <f>-H6*H19</f>
        <v>-25415475590.25962</v>
      </c>
      <c r="I11" s="18">
        <f>-I6*I19</f>
        <v>-26025076622.734196</v>
      </c>
      <c r="J11" s="18">
        <f>-J6*J19</f>
        <v>-26667885005.832184</v>
      </c>
      <c r="K11" s="18">
        <f>-K6*K19</f>
        <v>-27345615352.692356</v>
      </c>
    </row>
    <row r="12" spans="1:11" x14ac:dyDescent="0.25">
      <c r="A12" t="s">
        <v>55</v>
      </c>
      <c r="B12" s="18">
        <f>-(B6-Assumptions!B29)*Assumptions!B11</f>
        <v>-253197069.24993044</v>
      </c>
      <c r="C12" s="18">
        <f>-(C6-B6)*Assumptions!B11</f>
        <v>-351906352.5628399</v>
      </c>
      <c r="D12" s="18">
        <f>-(D6-C6)*Assumptions!B11</f>
        <v>-371972602.36388546</v>
      </c>
      <c r="E12" s="18">
        <f>-(E6-D6)*Assumptions!B11</f>
        <v>-392957083.60204405</v>
      </c>
      <c r="F12" s="18">
        <f>-(F6-E6)*Assumptions!B11</f>
        <v>-414922457.4791431</v>
      </c>
      <c r="G12" s="18">
        <f>-(G6-F6)*Assumptions!B11</f>
        <v>-437935395.33382124</v>
      </c>
      <c r="H12" s="18">
        <f>-(H6-G6)*Assumptions!B11</f>
        <v>-462066894.01433873</v>
      </c>
      <c r="I12" s="18">
        <f>-(I6-H6)*Assumptions!B11</f>
        <v>-487392615.86552703</v>
      </c>
      <c r="J12" s="18">
        <f>-(J6-I6)*Assumptions!B11</f>
        <v>-513993255.50379515</v>
      </c>
      <c r="K12" s="18">
        <f>-(K6-J6)*Assumptions!B11</f>
        <v>-541954935.7493764</v>
      </c>
    </row>
    <row r="13" spans="1:11" x14ac:dyDescent="0.25">
      <c r="A13" s="19" t="s">
        <v>56</v>
      </c>
      <c r="B13" s="20">
        <f>B9+B10+B11+B12</f>
        <v>19508813004.987938</v>
      </c>
      <c r="C13" s="20">
        <f>C9+C10+C11+C12</f>
        <v>19782034681.22854</v>
      </c>
      <c r="D13" s="20">
        <f>D9+D10+D11+D12</f>
        <v>20155264621.67167</v>
      </c>
      <c r="E13" s="20">
        <f>E9+E10+E11+E12</f>
        <v>20549904878.89751</v>
      </c>
      <c r="F13" s="20">
        <f>F9+F10+F11+F12</f>
        <v>20966922032.09893</v>
      </c>
      <c r="G13" s="20">
        <f>G9+G10+G11+G12</f>
        <v>21407348751.226196</v>
      </c>
      <c r="H13" s="20">
        <f>H9+H10+H11+H12</f>
        <v>21872287988.350193</v>
      </c>
      <c r="I13" s="20">
        <f>I9+I10+I11+I12</f>
        <v>22362917498.597603</v>
      </c>
      <c r="J13" s="20">
        <f>J9+J10+J11+J12</f>
        <v>22880494716.21152</v>
      </c>
      <c r="K13" s="20">
        <f>K9+K10+K11+K12</f>
        <v>23426362013.544456</v>
      </c>
    </row>
    <row r="14" spans="1:11" x14ac:dyDescent="0.25">
      <c r="A14" t="s">
        <v>57</v>
      </c>
      <c r="B14" s="21">
        <f>1/(1+Assumptions!$B$26)^(1-0.5*Assumptions!$B$32)</f>
        <v>0.9724313691009174</v>
      </c>
      <c r="C14" s="21">
        <f>1/(1+Assumptions!$B$26)^(2-0.5*Assumptions!$B$32)</f>
        <v>0.9195532425614347</v>
      </c>
      <c r="D14" s="21">
        <f>1/(1+Assumptions!$B$26)^(3-0.5*Assumptions!$B$32)</f>
        <v>0.8695504821970585</v>
      </c>
      <c r="E14" s="21">
        <f>1/(1+Assumptions!$B$26)^(4-0.5*Assumptions!$B$32)</f>
        <v>0.8222667335530836</v>
      </c>
      <c r="F14" s="21">
        <f>1/(1+Assumptions!$B$26)^(5-0.5*Assumptions!$B$32)</f>
        <v>0.7775541442973221</v>
      </c>
      <c r="G14" s="21">
        <f>1/(1+Assumptions!$B$26)^(6-0.5*Assumptions!$B$32)</f>
        <v>0.7352729018982134</v>
      </c>
      <c r="H14" s="21">
        <f>1/(1+Assumptions!$B$26)^(7-0.5*Assumptions!$B$32)</f>
        <v>0.6952907964427161</v>
      </c>
      <c r="I14" s="21">
        <f>1/(1+Assumptions!$B$26)^(8-0.5*Assumptions!$B$32)</f>
        <v>0.6574828072269546</v>
      </c>
      <c r="J14" s="21">
        <f>1/(1+Assumptions!$B$26)^(9-0.5*Assumptions!$B$32)</f>
        <v>0.621730711826921</v>
      </c>
      <c r="K14" s="21">
        <f>1/(1+Assumptions!$B$26)^(10-0.5*Assumptions!$B$32)</f>
        <v>0.5879227164268314</v>
      </c>
    </row>
    <row r="15" spans="1:11" x14ac:dyDescent="0.25">
      <c r="A15" s="19" t="s">
        <v>58</v>
      </c>
      <c r="B15" s="20">
        <f>B13*B14</f>
        <v>18970981739.974205</v>
      </c>
      <c r="C15" s="20">
        <f>C13*C14</f>
        <v>18190634135.58646</v>
      </c>
      <c r="D15" s="20">
        <f>D13*D14</f>
        <v>17526020070.583916</v>
      </c>
      <c r="E15" s="20">
        <f>E13*E14</f>
        <v>16897503159.597631</v>
      </c>
      <c r="F15" s="20">
        <f>F13*F14</f>
        <v>16302917119.217352</v>
      </c>
      <c r="G15" s="20">
        <f>G13*G14</f>
        <v>15740243438.261179</v>
      </c>
      <c r="H15" s="20">
        <f>H13*H14</f>
        <v>15207600535.444458</v>
      </c>
      <c r="I15" s="20">
        <f>I13*I14</f>
        <v>14703233774.762737</v>
      </c>
      <c r="J15" s="20">
        <f>J13*J14</f>
        <v>14225506266.862293</v>
      </c>
      <c r="K15" s="20">
        <f>K13*K14</f>
        <v>13772890391.001392</v>
      </c>
    </row>
    <row r="17" spans="1:2" x14ac:dyDescent="0.25">
      <c r="A17" s="22" t="s">
        <v>59</v>
      </c>
      <c r="B17" s="23">
        <f>SUM(B15:K15)</f>
        <v>161537530631.29166</v>
      </c>
    </row>
    <row r="19" spans="1:11" x14ac:dyDescent="0.25">
      <c r="A19" t="s">
        <v>7</v>
      </c>
      <c r="B19" s="9">
        <f>Assumptions!$B$10+($B$20-Assumptions!$B$10)*0/9</f>
        <v>0.15964558544532906</v>
      </c>
      <c r="C19" s="9">
        <f>Assumptions!$B$10+($B$20-Assumptions!$B$10)*1/9</f>
        <v>0.15971023290507524</v>
      </c>
      <c r="D19" s="9">
        <f>Assumptions!$B$10+($B$20-Assumptions!$B$10)*2/9</f>
        <v>0.15977488036482143</v>
      </c>
      <c r="E19" s="9">
        <f>Assumptions!$B$10+($B$20-Assumptions!$B$10)*3/9</f>
        <v>0.15983952782456765</v>
      </c>
      <c r="F19" s="9">
        <f>Assumptions!$B$10+($B$20-Assumptions!$B$10)*4/9</f>
        <v>0.15990417528431383</v>
      </c>
      <c r="G19" s="9">
        <f>Assumptions!$B$10+($B$20-Assumptions!$B$10)*5/9</f>
        <v>0.15996882274406002</v>
      </c>
      <c r="H19" s="9">
        <f>Assumptions!$B$10+($B$20-Assumptions!$B$10)*6/9</f>
        <v>0.1600334702038062</v>
      </c>
      <c r="I19" s="9">
        <f>Assumptions!$B$10+($B$20-Assumptions!$B$10)*7/9</f>
        <v>0.16009811766355242</v>
      </c>
      <c r="J19" s="9">
        <f>Assumptions!$B$10+($B$20-Assumptions!$B$10)*8/9</f>
        <v>0.1601627651232986</v>
      </c>
      <c r="K19" s="9">
        <f>Assumptions!$B$10+($B$20-Assumptions!$B$10)*9/9</f>
        <v>0.1602274125830448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0.1602274125830448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23426362013.544456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31760809606.20788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0.26811680394080273</v>
      </c>
    </row>
    <row r="7" spans="1:2" x14ac:dyDescent="0.25">
      <c r="A7" t="s">
        <v>66</v>
      </c>
      <c r="B7" s="18">
        <f>-MAX(B5,0)*B6</f>
        <v>-8515606762.188802</v>
      </c>
    </row>
    <row r="8" spans="1:2" x14ac:dyDescent="0.25">
      <c r="A8" t="s">
        <v>67</v>
      </c>
      <c r="B8" s="18">
        <f>IF(OR(Assumptions!$B$33=0,Assumptions!B12&lt;=0),B5,MAX(B5+B7,0))</f>
        <v>23245202844.019077</v>
      </c>
    </row>
    <row r="9" spans="1:2" x14ac:dyDescent="0.25">
      <c r="A9" t="s">
        <v>68</v>
      </c>
      <c r="B9" s="18">
        <f>B8*(1+Assumptions!B12)/(Assumptions!B26-Assumptions!B12)</f>
        <v>733024360123.9945</v>
      </c>
    </row>
    <row r="10" spans="1:2" x14ac:dyDescent="0.25">
      <c r="A10" t="s">
        <v>69</v>
      </c>
      <c r="B10" s="18">
        <f>B9/(1+Assumptions!B26)^(10-0.5*Assumptions!B32)</f>
        <v>430961673011.13873</v>
      </c>
    </row>
    <row r="11" spans="1:2" x14ac:dyDescent="0.25">
      <c r="A11" t="s">
        <v>70</v>
      </c>
      <c r="B11" s="18">
        <f>Forecast!B17+B10</f>
        <v>592499203642.4304</v>
      </c>
    </row>
    <row r="12" spans="1:2" x14ac:dyDescent="0.25">
      <c r="A12" t="s">
        <v>71</v>
      </c>
      <c r="B12" s="18">
        <f>-Assumptions!B30</f>
        <v>-162595000000</v>
      </c>
    </row>
    <row r="13" spans="1:2" x14ac:dyDescent="0.25">
      <c r="A13" t="s">
        <v>72</v>
      </c>
      <c r="B13" s="18">
        <f>B11+B12</f>
        <v>429904203642.4304</v>
      </c>
    </row>
    <row r="14" spans="1:2" x14ac:dyDescent="0.25">
      <c r="A14" s="19" t="s">
        <v>73</v>
      </c>
      <c r="B14" s="24">
        <f>B13/Assumptions!B31</f>
        <v>101.60817859665102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59033565054.05783</v>
      </c>
    </row>
    <row r="18" spans="1:2" x14ac:dyDescent="0.25">
      <c r="A18" t="s">
        <v>68</v>
      </c>
      <c r="B18" s="18">
        <f>B17*Assumptions!B13</f>
        <v>431496172257.2667</v>
      </c>
    </row>
    <row r="19" spans="1:2" x14ac:dyDescent="0.25">
      <c r="A19" t="s">
        <v>69</v>
      </c>
      <c r="B19" s="18">
        <f>B18/(1+Assumptions!B26)^(10-0.5*Assumptions!B32)</f>
        <v>253686401721.2722</v>
      </c>
    </row>
    <row r="20" spans="1:2" x14ac:dyDescent="0.25">
      <c r="A20" t="s">
        <v>70</v>
      </c>
      <c r="B20" s="18">
        <f>Forecast!B17+B19</f>
        <v>415223932352.56384</v>
      </c>
    </row>
    <row r="21" spans="1:2" x14ac:dyDescent="0.25">
      <c r="A21" t="s">
        <v>71</v>
      </c>
      <c r="B21" s="18">
        <f>-Assumptions!B30</f>
        <v>-162595000000</v>
      </c>
    </row>
    <row r="22" spans="1:2" x14ac:dyDescent="0.25">
      <c r="A22" t="s">
        <v>72</v>
      </c>
      <c r="B22" s="18">
        <f>B20+B21</f>
        <v>252628932352.56384</v>
      </c>
    </row>
    <row r="23" spans="1:2" x14ac:dyDescent="0.25">
      <c r="A23" s="19" t="s">
        <v>73</v>
      </c>
      <c r="B23" s="25">
        <f>B22/Assumptions!B31</f>
        <v>59.70903624499264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44.73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101.60817859665102</v>
      </c>
    </row>
    <row r="29" spans="1:2" x14ac:dyDescent="0.25">
      <c r="A29" s="19" t="s">
        <v>81</v>
      </c>
      <c r="B29" s="11">
        <f>B28/B26-1</f>
        <v>1.2715890587223568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0.037504</v>
      </c>
      <c r="B5" s="31">
        <v>206.59951483601597</v>
      </c>
      <c r="C5" s="31">
        <v>247.06595945466174</v>
      </c>
      <c r="D5" s="31">
        <v>320.84451732071716</v>
      </c>
      <c r="E5" s="31">
        <v>494.5239009489938</v>
      </c>
      <c r="F5" s="31">
        <v>1366.551549010946</v>
      </c>
    </row>
    <row r="6" spans="1:6" x14ac:dyDescent="0.25">
      <c r="A6" s="30">
        <v>0.047504</v>
      </c>
      <c r="B6" s="31">
        <v>130.83811126473555</v>
      </c>
      <c r="C6" s="31">
        <v>143.5998339869844</v>
      </c>
      <c r="D6" s="31">
        <v>162.52996261295763</v>
      </c>
      <c r="E6" s="31">
        <v>192.91449397514307</v>
      </c>
      <c r="F6" s="31">
        <v>248.49431427341136</v>
      </c>
    </row>
    <row r="7" spans="1:6" x14ac:dyDescent="0.25">
      <c r="A7" s="30">
        <v>0.057504</v>
      </c>
      <c r="B7" s="31">
        <v>90.77474693391156</v>
      </c>
      <c r="C7" s="31">
        <v>95.32865329293406</v>
      </c>
      <c r="D7" s="32">
        <v>101.60880657167318</v>
      </c>
      <c r="E7" s="31">
        <v>110.5566590605503</v>
      </c>
      <c r="F7" s="31">
        <v>123.95036078409746</v>
      </c>
    </row>
    <row r="8" spans="1:6" x14ac:dyDescent="0.25">
      <c r="A8" s="30">
        <v>0.067504</v>
      </c>
      <c r="B8" s="31">
        <v>66.0089529077135</v>
      </c>
      <c r="C8" s="31">
        <v>67.39417135926286</v>
      </c>
      <c r="D8" s="31">
        <v>69.34030870198373</v>
      </c>
      <c r="E8" s="31">
        <v>72.07170856235801</v>
      </c>
      <c r="F8" s="31">
        <v>75.95075519354829</v>
      </c>
    </row>
    <row r="9" spans="1:6" x14ac:dyDescent="0.25">
      <c r="A9" s="30">
        <v>0.077504</v>
      </c>
      <c r="B9" s="31">
        <v>49.195956103767124</v>
      </c>
      <c r="C9" s="31">
        <v>49.18575395073254</v>
      </c>
      <c r="D9" s="31">
        <v>49.35355151506407</v>
      </c>
      <c r="E9" s="31">
        <v>49.755554500712876</v>
      </c>
      <c r="F9" s="31">
        <v>50.47441586551246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138191000000</v>
      </c>
      <c r="C5" s="18">
        <v>134788000000</v>
      </c>
      <c r="D5" s="18">
        <v>133974000000</v>
      </c>
      <c r="E5" s="18">
        <v>136835000000</v>
      </c>
      <c r="F5" s="6" t="s">
        <v>91</v>
      </c>
    </row>
    <row r="6" spans="1:6" x14ac:dyDescent="0.25">
      <c r="A6" t="s">
        <v>51</v>
      </c>
      <c r="B6" s="18">
        <v>29259000000</v>
      </c>
      <c r="C6" s="18">
        <v>28686000000</v>
      </c>
      <c r="D6" s="18">
        <v>28718000000</v>
      </c>
      <c r="E6" s="18">
        <v>30467000000</v>
      </c>
      <c r="F6" s="6" t="s">
        <v>92</v>
      </c>
    </row>
    <row r="7" spans="1:6" x14ac:dyDescent="0.25">
      <c r="A7" t="s">
        <v>93</v>
      </c>
      <c r="B7" s="18">
        <v>18349000000</v>
      </c>
      <c r="C7" s="18">
        <v>17892000000</v>
      </c>
      <c r="D7" s="18">
        <v>17624000000</v>
      </c>
      <c r="E7" s="18">
        <v>17099000000</v>
      </c>
      <c r="F7" s="6" t="s">
        <v>94</v>
      </c>
    </row>
    <row r="8" spans="1:6" x14ac:dyDescent="0.25">
      <c r="A8" t="s">
        <v>95</v>
      </c>
      <c r="B8" s="18">
        <v>17461000000</v>
      </c>
      <c r="C8" s="18">
        <v>17990000000</v>
      </c>
      <c r="D8" s="18">
        <v>24563000000</v>
      </c>
      <c r="E8" s="18">
        <v>26740000000</v>
      </c>
      <c r="F8" s="6" t="s">
        <v>96</v>
      </c>
    </row>
    <row r="9" spans="1:6" x14ac:dyDescent="0.25">
      <c r="A9" t="s">
        <v>97</v>
      </c>
      <c r="B9" s="18">
        <v>2320000000</v>
      </c>
      <c r="C9" s="18">
        <v>2278000000</v>
      </c>
      <c r="D9" s="18">
        <v>267000000</v>
      </c>
      <c r="E9" s="18">
        <v>456000000</v>
      </c>
      <c r="F9" s="6" t="s">
        <v>98</v>
      </c>
    </row>
    <row r="10" spans="1:6" x14ac:dyDescent="0.25">
      <c r="A10" t="s">
        <v>99</v>
      </c>
      <c r="B10" s="18">
        <v>181643000000</v>
      </c>
      <c r="C10" s="18">
        <v>168357000000</v>
      </c>
      <c r="D10" s="18">
        <v>174942000000</v>
      </c>
      <c r="E10" s="18">
        <v>176331000000</v>
      </c>
      <c r="F10" s="6" t="s">
        <v>100</v>
      </c>
    </row>
    <row r="11" spans="1:6" x14ac:dyDescent="0.25">
      <c r="A11" t="s">
        <v>101</v>
      </c>
      <c r="B11" s="18">
        <v>19048000000</v>
      </c>
      <c r="C11" s="18">
        <v>4194000000</v>
      </c>
      <c r="D11" s="18">
        <v>2065000000</v>
      </c>
      <c r="E11" s="18">
        <v>2605000000</v>
      </c>
      <c r="F11" s="6" t="s">
        <v>102</v>
      </c>
    </row>
    <row r="12" spans="1:6" x14ac:dyDescent="0.25">
      <c r="A12" t="s">
        <v>34</v>
      </c>
      <c r="B12" s="34">
        <v>4231000000</v>
      </c>
      <c r="C12" s="34">
        <v>4223000000</v>
      </c>
      <c r="D12" s="34">
        <v>4215000000</v>
      </c>
      <c r="E12" s="34">
        <v>4204000000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