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<sst xmlns="http://schemas.openxmlformats.org/spreadsheetml/2006/main" count="121" uniqueCount="108">
  <si>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Westinghouse Air Brake Technologies Corporation (WAB)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</si>
  <si>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</si>
  <si>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</si>
  <si>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</si>
  <si>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</si>
  <si>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</si>
  <si>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</si>
  <si>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</si>
  <si>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</si>
  <si>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</si>
  <si>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</si>
  <si>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</si>
  <si>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</si>
  <si>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</si>
  <si>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</si>
  <si>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</si>
  <si>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</si>
  <si>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</si>
  <si>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</si>
  <si>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</si>
  <si>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</si>
  <si>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</si>
  <si>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</si>
  <si>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</si>
  <si>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8.0x interest cover. Book interest / average debt was lower, at 4.7%.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</si>
  <si>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</si>
  <si>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</si>
  <si>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</si>
  <si>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</si>
  <si>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</si>
  <si>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</si>
  <si>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</si>
  <si>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</si>
  <si>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</si>
  <si>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</si>
  <si>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</si>
  <si>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</si>
  <si>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</si>
  <si>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</si>
  <si>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</si>
  <si>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</si>
  <si>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</si>
  <si>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</si>
  <si>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</si>
  <si>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</si>
  <si>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</si>
  <si>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</si>
  <si>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</si>
  <si>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</si>
  <si>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</si>
  <si>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</si>
  <si>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</si>
  <si>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</si>
  <si>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</si>
  <si>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</si>
  <si>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</si>
  <si>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</si>
  <si>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</si>
  <si>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</si>
  <si>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</si>
  <si>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</si>
  <si>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</si>
  <si>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</si>
  <si>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</si>
  <si>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</si>
  <si>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</si>
  <si>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</si>
  <si>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</si>
  <si>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</si>
  <si>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</si>
  <si>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</si>
  <si>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</si>
  <si>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</si>
  <si>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</si>
  <si>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</si>
  <si>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</si>
  <si>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</si>
  <si>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</si>
  <si>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</si>
  <si>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</si>
  <si>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</si>
  <si>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</si>
  <si>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</si>
  <si>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</si>
  <si>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</si>
  <si>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</si>
  <si>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</si>
  <si>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</si>
  <si>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</si>
  <si>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</si>
  <si>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</si>
  <si>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</si>
  <si>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</si>
  <si>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</si>
  <si>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</si>
  <si>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</si>
  <si>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</si>
  <si>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</si>
  <si>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</si>
  <si>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</si>
  <si>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</si>
  <si>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</si>
  <si>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</si>
  <si>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</si>
  <si>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</si>
  <si>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2.01% of revenue against depreciation of 5.14%. A business cannot depreciate more than it invests indefinitely. Capex has been set to 5.14% of revenue so the forecast is not handed free growth. Override it if the reported figure is right.</t>
  </si>
  <si>
    <t>Current EV/EBITDA of 23.1x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</si>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</sst>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0.1192308220650129</v>
      </c>
    </row>
    <row r="7" spans="1:2" x14ac:dyDescent="0.25">
      <c r="A7" t="s">
        <v>4</v>
      </c>
      <c r="B7" s="5">
        <v>0.14179932505985238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0.04633772256767753</v>
      </c>
    </row>
    <row r="10" spans="1:3" x14ac:dyDescent="0.25">
      <c r="A10" t="s">
        <v>7</v>
      </c>
      <c r="B10" s="5">
        <v>0.05136139347153819</v>
      </c>
      <c r="C10" s="6" t="s">
        <v>8</v>
      </c>
    </row>
    <row r="11" spans="1:2" x14ac:dyDescent="0.25">
      <c r="A11" t="s">
        <v>9</v>
      </c>
      <c r="B11" s="5">
        <v>0.2176265255695819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0.08407001707500512</v>
      </c>
      <c r="C14" s="6" t="s">
        <v>13</v>
      </c>
    </row>
    <row r="15" spans="1:3" x14ac:dyDescent="0.25">
      <c r="A15" t="s">
        <v>14</v>
      </c>
      <c r="B15" s="5">
        <v>0.05136139347153819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0.9443900000000001</v>
      </c>
      <c r="C19" s="6" t="s">
        <v>21</v>
      </c>
    </row>
    <row r="20" spans="1:2" x14ac:dyDescent="0.25">
      <c r="A20" t="s">
        <v>22</v>
      </c>
      <c r="B20" s="9">
        <f>B17+B19*B18</f>
        <v>0.088887697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47227473920</v>
      </c>
    </row>
    <row r="23" spans="1:2" x14ac:dyDescent="0.25">
      <c r="A23" t="s">
        <v>26</v>
      </c>
      <c r="B23" s="10">
        <v>5541000000</v>
      </c>
    </row>
    <row r="24" spans="1:2" x14ac:dyDescent="0.25">
      <c r="A24" t="s">
        <v>27</v>
      </c>
      <c r="B24" s="9">
        <f>B22/(B22+B23)</f>
        <v>0.8949941207623235</v>
      </c>
    </row>
    <row r="25" spans="1:2" x14ac:dyDescent="0.25">
      <c r="A25" t="s">
        <v>28</v>
      </c>
      <c r="B25" s="9">
        <f>1-B24</f>
        <v>0.10500587923767646</v>
      </c>
    </row>
    <row r="26" spans="1:2" x14ac:dyDescent="0.25">
      <c r="A26" t="s">
        <v>29</v>
      </c>
      <c r="B26" s="11">
        <f>B24*B20+B25*B21*(1-B8)</f>
        <v>0.08407001707500512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11167000000</v>
      </c>
      <c r="C29" s="6" t="s">
        <v>32</v>
      </c>
    </row>
    <row r="30" spans="1:2" x14ac:dyDescent="0.25">
      <c r="A30" t="s">
        <v>33</v>
      </c>
      <c r="B30" s="10">
        <v>4777000000</v>
      </c>
    </row>
    <row r="31" spans="1:2" x14ac:dyDescent="0.25">
      <c r="A31" t="s">
        <v>34</v>
      </c>
      <c r="B31" s="12">
        <v>171100000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0.1192308220650129</v>
      </c>
      <c r="C5" s="5">
        <v>0.06892883912260994</v>
      </c>
      <c r="D5" s="5">
        <v>0.0634377342322837</v>
      </c>
      <c r="E5" s="5">
        <v>0.057946629341957455</v>
      </c>
      <c r="F5" s="5">
        <v>0.052455524451631215</v>
      </c>
      <c r="G5" s="5">
        <v>0.04696441956130497</v>
      </c>
      <c r="H5" s="5">
        <v>0.04147331467097873</v>
      </c>
      <c r="I5" s="5">
        <v>0.03598220978065249</v>
      </c>
      <c r="J5" s="5">
        <v>0.03049110489032624</v>
      </c>
      <c r="K5" s="5">
        <v>0.025</v>
      </c>
    </row>
    <row r="6" spans="1:11" x14ac:dyDescent="0.25">
      <c r="A6" t="s">
        <v>50</v>
      </c>
      <c r="B6" s="18">
        <f>Assumptions!B29*(1+B5)</f>
        <v>12498450589.999998</v>
      </c>
      <c r="C6" s="18">
        <f>B6*(1+C5)</f>
        <v>13359954279.999998</v>
      </c>
      <c r="D6" s="18">
        <f>C6*(1+D5)</f>
        <v>14207479508.970098</v>
      </c>
      <c r="E6" s="18">
        <f>D6*(1+E5)</f>
        <v>15030755057.959845</v>
      </c>
      <c r="F6" s="18">
        <f>E6*(1+F5)</f>
        <v>15819201197.429136</v>
      </c>
      <c r="G6" s="18">
        <f>F6*(1+G5)</f>
        <v>16562140799.589897</v>
      </c>
      <c r="H6" s="18">
        <f>G6*(1+H5)</f>
        <v>17249027676.596344</v>
      </c>
      <c r="I6" s="18">
        <f>H6*(1+I5)</f>
        <v>17869685808.967915</v>
      </c>
      <c r="J6" s="18">
        <f>I6*(1+J5)</f>
        <v>18414552273.32633</v>
      </c>
      <c r="K6" s="18">
        <f>J6*(1+K5)</f>
        <v>18874916080.159485</v>
      </c>
    </row>
    <row r="7" spans="1:11" x14ac:dyDescent="0.25">
      <c r="A7" t="s">
        <v>4</v>
      </c>
      <c r="B7" s="9">
        <f>Assumptions!B7</f>
        <v>0.14179932505985238</v>
      </c>
      <c r="C7" s="9">
        <f>Assumptions!B7</f>
        <v>0.14179932505985238</v>
      </c>
      <c r="D7" s="9">
        <f>Assumptions!B7</f>
        <v>0.14179932505985238</v>
      </c>
      <c r="E7" s="9">
        <f>Assumptions!B7</f>
        <v>0.14179932505985238</v>
      </c>
      <c r="F7" s="9">
        <f>Assumptions!B7</f>
        <v>0.14179932505985238</v>
      </c>
      <c r="G7" s="9">
        <f>Assumptions!B7</f>
        <v>0.14179932505985238</v>
      </c>
      <c r="H7" s="9">
        <f>Assumptions!B7</f>
        <v>0.14179932505985238</v>
      </c>
      <c r="I7" s="9">
        <f>Assumptions!B7</f>
        <v>0.14179932505985238</v>
      </c>
      <c r="J7" s="9">
        <f>Assumptions!B7</f>
        <v>0.14179932505985238</v>
      </c>
      <c r="K7" s="9">
        <f>Assumptions!B7</f>
        <v>0.14179932505985238</v>
      </c>
    </row>
    <row r="8" spans="1:11" x14ac:dyDescent="0.25">
      <c r="A8" t="s">
        <v>51</v>
      </c>
      <c r="B8" s="18">
        <f>B6*B7</f>
        <v>1772271857.9559135</v>
      </c>
      <c r="C8" s="18">
        <f>C6*C7</f>
        <v>1894432499.7344859</v>
      </c>
      <c r="D8" s="18">
        <f>D6*D7</f>
        <v>2014611005.1736429</v>
      </c>
      <c r="E8" s="18">
        <f>E6*E7</f>
        <v>2131350922.3586683</v>
      </c>
      <c r="F8" s="18">
        <f>F6*F7</f>
        <v>2243152052.7814603</v>
      </c>
      <c r="G8" s="18">
        <f>G6*G7</f>
        <v>2348500386.928091</v>
      </c>
      <c r="H8" s="18">
        <f>H6*H7</f>
        <v>2445900482.4800754</v>
      </c>
      <c r="I8" s="18">
        <f>I6*I7</f>
        <v>2533909386.7432723</v>
      </c>
      <c r="J8" s="18">
        <f>J6*J7</f>
        <v>2611171083.6370435</v>
      </c>
      <c r="K8" s="18">
        <f>K6*K7</f>
        <v>2676450360.7279696</v>
      </c>
    </row>
    <row r="9" spans="1:11" x14ac:dyDescent="0.25">
      <c r="A9" t="s">
        <v>52</v>
      </c>
      <c r="B9" s="18">
        <f>B8*(1-Assumptions!B8)</f>
        <v>1400094767.7851717</v>
      </c>
      <c r="C9" s="18">
        <f>C8*(1-Assumptions!B8)</f>
        <v>1496601674.7902439</v>
      </c>
      <c r="D9" s="18">
        <f>D8*(1-Assumptions!B8)</f>
        <v>1591542694.087178</v>
      </c>
      <c r="E9" s="18">
        <f>E8*(1-Assumptions!B8)</f>
        <v>1683767228.663348</v>
      </c>
      <c r="F9" s="18">
        <f>F8*(1-Assumptions!B8)</f>
        <v>1772090121.6973536</v>
      </c>
      <c r="G9" s="18">
        <f>G8*(1-Assumptions!B8)</f>
        <v>1855315305.673192</v>
      </c>
      <c r="H9" s="18">
        <f>H8*(1-Assumptions!B8)</f>
        <v>1932261381.1592596</v>
      </c>
      <c r="I9" s="18">
        <f>I8*(1-Assumptions!B8)</f>
        <v>2001788415.5271852</v>
      </c>
      <c r="J9" s="18">
        <f>J8*(1-Assumptions!B8)</f>
        <v>2062825156.0732644</v>
      </c>
      <c r="K9" s="18">
        <f>K8*(1-Assumptions!B8)</f>
        <v>2114395784.9750962</v>
      </c>
    </row>
    <row r="10" spans="1:11" x14ac:dyDescent="0.25">
      <c r="A10" t="s">
        <v>53</v>
      </c>
      <c r="B10" s="18">
        <f>B6*Assumptions!B9</f>
        <v>579149735.9652454</v>
      </c>
      <c r="C10" s="18">
        <f>C6*Assumptions!B9</f>
        <v>619069854.9434959</v>
      </c>
      <c r="D10" s="18">
        <f>D6*Assumptions!B9</f>
        <v>658342243.8726197</v>
      </c>
      <c r="E10" s="18">
        <f>E6*Assumptions!B9</f>
        <v>696490957.858459</v>
      </c>
      <c r="F10" s="18">
        <f>F6*Assumptions!B9</f>
        <v>733025756.3287435</v>
      </c>
      <c r="G10" s="18">
        <f>G6*Assumptions!B9</f>
        <v>767451885.4982095</v>
      </c>
      <c r="H10" s="18">
        <f>H6*Assumptions!B9</f>
        <v>799280659.0403126</v>
      </c>
      <c r="I10" s="18">
        <f>I6*Assumptions!B9</f>
        <v>828040543.3875194</v>
      </c>
      <c r="J10" s="18">
        <f>J6*Assumptions!B9</f>
        <v>853288414.4493909</v>
      </c>
      <c r="K10" s="18">
        <f>K6*Assumptions!B9</f>
        <v>874620624.8106257</v>
      </c>
    </row>
    <row r="11" spans="1:11" x14ac:dyDescent="0.25">
      <c r="A11" t="s">
        <v>54</v>
      </c>
      <c r="B11" s="18">
        <f>-B6*B19</f>
        <v>-641937838.5375686</v>
      </c>
      <c r="C11" s="18">
        <f>-C6*C19</f>
        <v>-728178111.7836025</v>
      </c>
      <c r="D11" s="18">
        <f>-D6*D19</f>
        <v>-819028217.326364</v>
      </c>
      <c r="E11" s="18">
        <f>-E6*E19</f>
        <v>-913731950.4314744</v>
      </c>
      <c r="F11" s="18">
        <f>-F6*F19</f>
        <v>-1011384246.4305638</v>
      </c>
      <c r="G11" s="18">
        <f>-G6*G19</f>
        <v>-1110940493.0623407</v>
      </c>
      <c r="H11" s="18">
        <f>-H6*H19</f>
        <v>-1211231033.7543933</v>
      </c>
      <c r="I11" s="18">
        <f>-I6*I19</f>
        <v>-1310980776.0465503</v>
      </c>
      <c r="J11" s="18">
        <f>-J6*J19</f>
        <v>-1408833594.6104245</v>
      </c>
      <c r="K11" s="18">
        <f>-K6*K19</f>
        <v>-1503380989.8432288</v>
      </c>
    </row>
    <row r="12" spans="1:11" x14ac:dyDescent="0.25">
      <c r="A12" t="s">
        <v>55</v>
      </c>
      <c r="B12" s="18">
        <f>-(B6-Assumptions!B29)*Assumptions!B11</f>
        <v>-289758965.8692695</v>
      </c>
      <c r="C12" s="18">
        <f>-(C6-B6)*Assumptions!B11</f>
        <v>-187486054.82007414</v>
      </c>
      <c r="D12" s="18">
        <f>-(D6-C6)*Assumptions!B11</f>
        <v>-184443970.9133273</v>
      </c>
      <c r="E12" s="18">
        <f>-(E6-D6)*Assumptions!B11</f>
        <v>-179166597.31302854</v>
      </c>
      <c r="F12" s="18">
        <f>-(F6-E6)*Assumptions!B11</f>
        <v>-171586793.93145195</v>
      </c>
      <c r="G12" s="18">
        <f>-(G6-F6)*Assumptions!B11</f>
        <v>-161683364.32629383</v>
      </c>
      <c r="H12" s="18">
        <f>-(H6-G6)*Assumptions!B11</f>
        <v>-149484804.50225377</v>
      </c>
      <c r="I12" s="18">
        <f>-(I6-H6)*Assumptions!B11</f>
        <v>-135071672.91453055</v>
      </c>
      <c r="J12" s="18">
        <f>-(J6-I6)*Assumptions!B11</f>
        <v>-118577395.537704</v>
      </c>
      <c r="K12" s="18">
        <f>-(K6-J6)*Assumptions!B11</f>
        <v>-100187375.77908601</v>
      </c>
    </row>
    <row r="13" spans="1:11" x14ac:dyDescent="0.25">
      <c r="A13" s="19" t="s">
        <v>56</v>
      </c>
      <c r="B13" s="20">
        <f>B9+B10+B11+B12</f>
        <v>1047547699.3435792</v>
      </c>
      <c r="C13" s="20">
        <f>C9+C10+C11+C12</f>
        <v>1200007363.1300633</v>
      </c>
      <c r="D13" s="20">
        <f>D9+D10+D11+D12</f>
        <v>1246412749.7201066</v>
      </c>
      <c r="E13" s="20">
        <f>E9+E10+E11+E12</f>
        <v>1287359638.7773037</v>
      </c>
      <c r="F13" s="20">
        <f>F9+F10+F11+F12</f>
        <v>1322144837.6640813</v>
      </c>
      <c r="G13" s="20">
        <f>G9+G10+G11+G12</f>
        <v>1350143333.7827668</v>
      </c>
      <c r="H13" s="20">
        <f>H9+H10+H11+H12</f>
        <v>1370826201.942925</v>
      </c>
      <c r="I13" s="20">
        <f>I9+I10+I11+I12</f>
        <v>1383776509.9536235</v>
      </c>
      <c r="J13" s="20">
        <f>J9+J10+J11+J12</f>
        <v>1388702580.374527</v>
      </c>
      <c r="K13" s="20">
        <f>K9+K10+K11+K12</f>
        <v>1385448044.1634068</v>
      </c>
    </row>
    <row r="14" spans="1:11" x14ac:dyDescent="0.25">
      <c r="A14" t="s">
        <v>57</v>
      </c>
      <c r="B14" s="21">
        <f>1/(1+Assumptions!$B$26)^(1-0.5*Assumptions!$B$32)</f>
        <v>0.9604424203358587</v>
      </c>
      <c r="C14" s="21">
        <f>1/(1+Assumptions!$B$26)^(2-0.5*Assumptions!$B$32)</f>
        <v>0.8859597675501502</v>
      </c>
      <c r="D14" s="21">
        <f>1/(1+Assumptions!$B$26)^(3-0.5*Assumptions!$B$32)</f>
        <v>0.8172532710946216</v>
      </c>
      <c r="E14" s="21">
        <f>1/(1+Assumptions!$B$26)^(4-0.5*Assumptions!$B$32)</f>
        <v>0.7538749879825125</v>
      </c>
      <c r="F14" s="21">
        <f>1/(1+Assumptions!$B$26)^(5-0.5*Assumptions!$B$32)</f>
        <v>0.6954117133656996</v>
      </c>
      <c r="G14" s="21">
        <f>1/(1+Assumptions!$B$26)^(6-0.5*Assumptions!$B$32)</f>
        <v>0.6414822865796364</v>
      </c>
      <c r="H14" s="21">
        <f>1/(1+Assumptions!$B$26)^(7-0.5*Assumptions!$B$32)</f>
        <v>0.5917351061054695</v>
      </c>
      <c r="I14" s="21">
        <f>1/(1+Assumptions!$B$26)^(8-0.5*Assumptions!$B$32)</f>
        <v>0.5458458372477323</v>
      </c>
      <c r="J14" s="21">
        <f>1/(1+Assumptions!$B$26)^(9-0.5*Assumptions!$B$32)</f>
        <v>0.5035152975824495</v>
      </c>
      <c r="K14" s="21">
        <f>1/(1+Assumptions!$B$26)^(10-0.5*Assumptions!$B$32)</f>
        <v>0.4644675063894993</v>
      </c>
    </row>
    <row r="15" spans="1:11" x14ac:dyDescent="0.25">
      <c r="A15" s="19" t="s">
        <v>58</v>
      </c>
      <c r="B15" s="20">
        <f>B13*B14</f>
        <v>1006109247.7748076</v>
      </c>
      <c r="C15" s="20">
        <f>C13*C14</f>
        <v>1063158244.4971795</v>
      </c>
      <c r="D15" s="20">
        <f>D13*D14</f>
        <v>1018634896.8427991</v>
      </c>
      <c r="E15" s="20">
        <f>E13*E14</f>
        <v>970508232.2124115</v>
      </c>
      <c r="F15" s="20">
        <f>F13*F14</f>
        <v>919435006.8775936</v>
      </c>
      <c r="G15" s="20">
        <f>G13*G14</f>
        <v>866093032.9652225</v>
      </c>
      <c r="H15" s="20">
        <f>H13*H14</f>
        <v>811165988.0588545</v>
      </c>
      <c r="I15" s="20">
        <f>I13*I14</f>
        <v>755328647.6393806</v>
      </c>
      <c r="J15" s="20">
        <f>J13*J14</f>
        <v>699232993.0107955</v>
      </c>
      <c r="K15" s="20">
        <f>K13*K14</f>
        <v>643495598.3047864</v>
      </c>
    </row>
    <row r="17" spans="1:2" x14ac:dyDescent="0.25">
      <c r="A17" s="22" t="s">
        <v>59</v>
      </c>
      <c r="B17" s="23">
        <f>SUM(B15:K15)</f>
        <v>8753161888.18383</v>
      </c>
    </row>
    <row r="19" spans="1:11" x14ac:dyDescent="0.25">
      <c r="A19" t="s">
        <v>7</v>
      </c>
      <c r="B19" s="9">
        <f>Assumptions!$B$10+($B$20-Assumptions!$B$10)*0/9</f>
        <v>0.05136139347153819</v>
      </c>
      <c r="C19" s="9">
        <f>Assumptions!$B$10+($B$20-Assumptions!$B$10)*1/9</f>
        <v>0.054504536207410026</v>
      </c>
      <c r="D19" s="9">
        <f>Assumptions!$B$10+($B$20-Assumptions!$B$10)*2/9</f>
        <v>0.05764767894328186</v>
      </c>
      <c r="E19" s="9">
        <f>Assumptions!$B$10+($B$20-Assumptions!$B$10)*3/9</f>
        <v>0.0607908216791537</v>
      </c>
      <c r="F19" s="9">
        <f>Assumptions!$B$10+($B$20-Assumptions!$B$10)*4/9</f>
        <v>0.06393396441502554</v>
      </c>
      <c r="G19" s="9">
        <f>Assumptions!$B$10+($B$20-Assumptions!$B$10)*5/9</f>
        <v>0.06707710715089737</v>
      </c>
      <c r="H19" s="9">
        <f>Assumptions!$B$10+($B$20-Assumptions!$B$10)*6/9</f>
        <v>0.07022024988676921</v>
      </c>
      <c r="I19" s="9">
        <f>Assumptions!$B$10+($B$20-Assumptions!$B$10)*7/9</f>
        <v>0.07336339262264105</v>
      </c>
      <c r="J19" s="9">
        <f>Assumptions!$B$10+($B$20-Assumptions!$B$10)*8/9</f>
        <v>0.07650653535851289</v>
      </c>
      <c r="K19" s="9">
        <f>Assumptions!$B$10+($B$20-Assumptions!$B$10)*9/9</f>
        <v>0.07964967809438472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0.07964967809438472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1385448044.1634068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2114395784.9750962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0.297371177856377</v>
      </c>
    </row>
    <row r="7" spans="1:2" x14ac:dyDescent="0.25">
      <c r="A7" t="s">
        <v>66</v>
      </c>
      <c r="B7" s="18">
        <f>-MAX(B5,0)*B6</f>
        <v>-628760365.0326033</v>
      </c>
    </row>
    <row r="8" spans="1:2" x14ac:dyDescent="0.25">
      <c r="A8" t="s">
        <v>67</v>
      </c>
      <c r="B8" s="18">
        <f>IF(OR(Assumptions!$B$33=0,Assumptions!B12&lt;=0),B5,MAX(B5+B7,0))</f>
        <v>1485635419.942493</v>
      </c>
    </row>
    <row r="9" spans="1:2" x14ac:dyDescent="0.25">
      <c r="A9" t="s">
        <v>68</v>
      </c>
      <c r="B9" s="18">
        <f>B8*(1+Assumptions!B12)/(Assumptions!B26-Assumptions!B12)</f>
        <v>25779174966.336727</v>
      </c>
    </row>
    <row r="10" spans="1:2" x14ac:dyDescent="0.25">
      <c r="A10" t="s">
        <v>69</v>
      </c>
      <c r="B10" s="18">
        <f>B9/(1+Assumptions!B26)^(10-0.5*Assumptions!B32)</f>
        <v>11973589113.393024</v>
      </c>
    </row>
    <row r="11" spans="1:2" x14ac:dyDescent="0.25">
      <c r="A11" t="s">
        <v>70</v>
      </c>
      <c r="B11" s="18">
        <f>Forecast!B17+B10</f>
        <v>20726751001.576855</v>
      </c>
    </row>
    <row r="12" spans="1:2" x14ac:dyDescent="0.25">
      <c r="A12" t="s">
        <v>71</v>
      </c>
      <c r="B12" s="18">
        <f>-Assumptions!B30</f>
        <v>-4777000000</v>
      </c>
    </row>
    <row r="13" spans="1:2" x14ac:dyDescent="0.25">
      <c r="A13" t="s">
        <v>72</v>
      </c>
      <c r="B13" s="18">
        <f>B11+B12</f>
        <v>15949751001.576855</v>
      </c>
    </row>
    <row r="14" spans="1:2" x14ac:dyDescent="0.25">
      <c r="A14" s="19" t="s">
        <v>73</v>
      </c>
      <c r="B14" s="24">
        <f>B13/Assumptions!B31</f>
        <v>93.21888370296233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3551070985.538595</v>
      </c>
    </row>
    <row r="18" spans="1:2" x14ac:dyDescent="0.25">
      <c r="A18" t="s">
        <v>68</v>
      </c>
      <c r="B18" s="18">
        <f>B17*Assumptions!B13</f>
        <v>71021419710.77191</v>
      </c>
    </row>
    <row r="19" spans="1:2" x14ac:dyDescent="0.25">
      <c r="A19" t="s">
        <v>69</v>
      </c>
      <c r="B19" s="18">
        <f>B18/(1+Assumptions!B26)^(10-0.5*Assumptions!B32)</f>
        <v>32987141713.304264</v>
      </c>
    </row>
    <row r="20" spans="1:2" x14ac:dyDescent="0.25">
      <c r="A20" t="s">
        <v>70</v>
      </c>
      <c r="B20" s="18">
        <f>Forecast!B17+B19</f>
        <v>41740303601.4881</v>
      </c>
    </row>
    <row r="21" spans="1:2" x14ac:dyDescent="0.25">
      <c r="A21" t="s">
        <v>71</v>
      </c>
      <c r="B21" s="18">
        <f>-Assumptions!B30</f>
        <v>-4777000000</v>
      </c>
    </row>
    <row r="22" spans="1:2" x14ac:dyDescent="0.25">
      <c r="A22" t="s">
        <v>72</v>
      </c>
      <c r="B22" s="18">
        <f>B20+B21</f>
        <v>36963303601.4881</v>
      </c>
    </row>
    <row r="23" spans="1:2" x14ac:dyDescent="0.25">
      <c r="A23" s="19" t="s">
        <v>73</v>
      </c>
      <c r="B23" s="25">
        <f>B22/Assumptions!B31</f>
        <v>216.03333490057335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279.6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93.21888370296233</v>
      </c>
    </row>
    <row r="29" spans="1:2" x14ac:dyDescent="0.25">
      <c r="A29" s="19" t="s">
        <v>81</v>
      </c>
      <c r="B29" s="11">
        <f>B28/B26-1</f>
        <v>-0.6665991283871162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0.06407</v>
      </c>
      <c r="B5" s="31">
        <v>145.65183325908555</v>
      </c>
      <c r="C5" s="31">
        <v>146.48620156065184</v>
      </c>
      <c r="D5" s="31">
        <v>148.03594664423397</v>
      </c>
      <c r="E5" s="31">
        <v>150.61602746874752</v>
      </c>
      <c r="F5" s="31">
        <v>154.75809302332084</v>
      </c>
    </row>
    <row r="6" spans="1:6" x14ac:dyDescent="0.25">
      <c r="A6" s="30">
        <v>0.07407</v>
      </c>
      <c r="B6" s="31">
        <v>115.67962751411193</v>
      </c>
      <c r="C6" s="31">
        <v>114.202898991748</v>
      </c>
      <c r="D6" s="31">
        <v>112.80271697369926</v>
      </c>
      <c r="E6" s="31">
        <v>111.50513540969874</v>
      </c>
      <c r="F6" s="31">
        <v>110.3495453110266</v>
      </c>
    </row>
    <row r="7" spans="1:6" x14ac:dyDescent="0.25">
      <c r="A7" s="30">
        <v>0.08407</v>
      </c>
      <c r="B7" s="31">
        <v>96.41943234638342</v>
      </c>
      <c r="C7" s="31">
        <v>94.81917121928502</v>
      </c>
      <c r="D7" s="32">
        <v>93.21891009218659</v>
      </c>
      <c r="E7" s="31">
        <v>91.61864896508817</v>
      </c>
      <c r="F7" s="31">
        <v>90.01838783798976</v>
      </c>
    </row>
    <row r="8" spans="1:6" x14ac:dyDescent="0.25">
      <c r="A8" s="30">
        <v>0.09407</v>
      </c>
      <c r="B8" s="31">
        <v>82.15100174469079</v>
      </c>
      <c r="C8" s="31">
        <v>80.79750023785293</v>
      </c>
      <c r="D8" s="31">
        <v>79.44399873101503</v>
      </c>
      <c r="E8" s="31">
        <v>78.09049722417717</v>
      </c>
      <c r="F8" s="31">
        <v>76.73699571733924</v>
      </c>
    </row>
    <row r="9" spans="1:6" x14ac:dyDescent="0.25">
      <c r="A9" s="30">
        <v>0.10407</v>
      </c>
      <c r="B9" s="31">
        <v>70.69746735460659</v>
      </c>
      <c r="C9" s="31">
        <v>69.53862090009119</v>
      </c>
      <c r="D9" s="31">
        <v>68.3797744455758</v>
      </c>
      <c r="E9" s="31">
        <v>67.22092799106042</v>
      </c>
      <c r="F9" s="31">
        <v>66.06208153654504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11167000000</v>
      </c>
      <c r="C5" s="18">
        <v>10387000000</v>
      </c>
      <c r="D5" s="18">
        <v>9677000000</v>
      </c>
      <c r="E5" s="18">
        <v>8362000000</v>
      </c>
      <c r="F5" s="6" t="s">
        <v>91</v>
      </c>
    </row>
    <row r="6" spans="1:6" x14ac:dyDescent="0.25">
      <c r="A6" t="s">
        <v>51</v>
      </c>
      <c r="B6" s="18">
        <v>1793000000</v>
      </c>
      <c r="C6" s="18">
        <v>1609000000</v>
      </c>
      <c r="D6" s="18">
        <v>1266000000</v>
      </c>
      <c r="E6" s="18">
        <v>1011000000</v>
      </c>
      <c r="F6" s="6" t="s">
        <v>92</v>
      </c>
    </row>
    <row r="7" spans="1:6" x14ac:dyDescent="0.25">
      <c r="A7" t="s">
        <v>93</v>
      </c>
      <c r="B7" s="18">
        <v>457000000</v>
      </c>
      <c r="C7" s="18">
        <v>459000000</v>
      </c>
      <c r="D7" s="18">
        <v>477000000</v>
      </c>
      <c r="E7" s="18">
        <v>426000000</v>
      </c>
      <c r="F7" s="6" t="s">
        <v>94</v>
      </c>
    </row>
    <row r="8" spans="1:6" x14ac:dyDescent="0.25">
      <c r="A8" t="s">
        <v>95</v>
      </c>
      <c r="B8" s="18">
        <v>260000000</v>
      </c>
      <c r="C8" s="18">
        <v>207000000</v>
      </c>
      <c r="D8" s="18">
        <v>186000000</v>
      </c>
      <c r="E8" s="18">
        <v>149000000</v>
      </c>
      <c r="F8" s="6" t="s">
        <v>96</v>
      </c>
    </row>
    <row r="9" spans="1:6" x14ac:dyDescent="0.25">
      <c r="A9" t="s">
        <v>97</v>
      </c>
      <c r="B9" s="18">
        <v>-7000000</v>
      </c>
      <c r="C9" s="18">
        <v>-187000000</v>
      </c>
      <c r="D9" s="18">
        <v>97000000</v>
      </c>
      <c r="E9" s="18">
        <v>109000000</v>
      </c>
      <c r="F9" s="6" t="s">
        <v>98</v>
      </c>
    </row>
    <row r="10" spans="1:6" x14ac:dyDescent="0.25">
      <c r="A10" t="s">
        <v>99</v>
      </c>
      <c r="B10" s="18">
        <v>5541000000</v>
      </c>
      <c r="C10" s="18">
        <v>3980000000</v>
      </c>
      <c r="D10" s="18">
        <v>4069000000</v>
      </c>
      <c r="E10" s="18">
        <v>4002000000</v>
      </c>
      <c r="F10" s="6" t="s">
        <v>100</v>
      </c>
    </row>
    <row r="11" spans="1:6" x14ac:dyDescent="0.25">
      <c r="A11" t="s">
        <v>101</v>
      </c>
      <c r="B11" s="18">
        <v>764000000</v>
      </c>
      <c r="C11" s="18">
        <v>715000000</v>
      </c>
      <c r="D11" s="18">
        <v>620000000</v>
      </c>
      <c r="E11" s="18">
        <v>541000000</v>
      </c>
      <c r="F11" s="6" t="s">
        <v>102</v>
      </c>
    </row>
    <row r="12" spans="1:6" x14ac:dyDescent="0.25">
      <c r="A12" t="s">
        <v>34</v>
      </c>
      <c r="B12" s="34">
        <v>171100000</v>
      </c>
      <c r="C12" s="34">
        <v>174800000</v>
      </c>
      <c r="D12" s="34">
        <v>179500000</v>
      </c>
      <c r="E12" s="34">
        <v>182800000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