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<sst xmlns="http://schemas.openxmlformats.org/spreadsheetml/2006/main" count="113" uniqueCount="101">
  <si>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Westinghouse Air Brake Technologies Corporation (WAB)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</si>
  <si>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</si>
  <si>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</si>
  <si>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</si>
  <si>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</si>
  <si>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</si>
  <si>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</si>
  <si>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</si>
  <si>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</si>
  <si>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</si>
  <si>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</si>
  <si>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</si>
  <si>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</si>
  <si>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</si>
  <si>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</si>
  <si>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</si>
  <si>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</si>
  <si>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</si>
  <si>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</si>
  <si>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</si>
  <si>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</si>
  <si>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</si>
  <si>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</si>
  <si>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</si>
  <si>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</si>
  <si>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</si>
  <si>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</si>
  <si>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</si>
  <si>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</si>
  <si>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</si>
  <si>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</si>
  <si>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</si>
  <si>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</si>
  <si>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</si>
  <si>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</si>
  <si>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</si>
  <si>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</si>
  <si>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</si>
  <si>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</si>
  <si>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</si>
  <si>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</si>
  <si>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</si>
  <si>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</si>
  <si>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</si>
  <si>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</si>
  <si>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</si>
  <si>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</si>
  <si>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</si>
  <si>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</si>
  <si>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</si>
  <si>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</si>
  <si>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</si>
  <si>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</si>
  <si>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</si>
  <si>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</si>
  <si>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</si>
  <si>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</si>
  <si>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</si>
  <si>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</si>
  <si>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</si>
  <si>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</si>
  <si>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</si>
  <si>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</si>
  <si>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</si>
  <si>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</si>
  <si>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</si>
  <si>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</si>
  <si>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</si>
  <si>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</si>
  <si>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</si>
  <si>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</si>
  <si>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</si>
  <si>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</si>
  <si>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</si>
  <si>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</si>
  <si>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</si>
  <si>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</si>
  <si>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</si>
  <si>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</si>
  <si>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</si>
  <si>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</si>
  <si>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</si>
  <si>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</si>
  <si>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</si>
  <si>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</si>
  <si>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</si>
  <si>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</si>
  <si>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</si>
  <si>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</si>
  <si>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</si>
  <si>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</si>
  <si>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</si>
  <si>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</si>
  <si>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</si>
  <si>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</si>
  <si>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</si>
  <si>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</si>
  <si>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</si>
  <si>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2.01% of revenue against depreciation of 5.14%. A business cannot depreciate more than it invests indefinitely. Capex has been set to 5.14% of revenue so the forecast is not handed free growth. Override it if the reported figure is right.</t>
  </si>
  <si>
    <t>Current EV/EBITDA of 23.2x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</si>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</sst>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0.10122345018267498</v>
      </c>
    </row>
    <row r="7" spans="1:2" x14ac:dyDescent="0.25">
      <c r="A7" t="s">
        <v>5</v>
      </c>
      <c r="B7" s="6">
        <v>0.14179932505985238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0.04633772256767753</v>
      </c>
    </row>
    <row r="10" spans="1:2" x14ac:dyDescent="0.25">
      <c r="A10" t="s">
        <v>8</v>
      </c>
      <c r="B10" s="6">
        <v>0.05136139347153819</v>
      </c>
    </row>
    <row r="11" spans="1:2" x14ac:dyDescent="0.25">
      <c r="A11" t="s">
        <v>9</v>
      </c>
      <c r="B11" s="6">
        <v>-0.008974358974358974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0.09551031987791257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0.9470700000000001</v>
      </c>
      <c r="C19" s="8" t="s">
        <v>19</v>
      </c>
    </row>
    <row r="20" spans="1:2" x14ac:dyDescent="0.25">
      <c r="A20" t="s">
        <v>20</v>
      </c>
      <c r="B20" s="10">
        <f>B17+B19*B18</f>
        <v>0.10206885000000002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47333888000</v>
      </c>
    </row>
    <row r="23" spans="1:2" x14ac:dyDescent="0.25">
      <c r="A23" t="s">
        <v>24</v>
      </c>
      <c r="B23" s="11">
        <v>5541000000</v>
      </c>
    </row>
    <row r="24" spans="1:2" x14ac:dyDescent="0.25">
      <c r="A24" t="s">
        <v>25</v>
      </c>
      <c r="B24" s="10">
        <f>B22/(B22+B23)</f>
        <v>0.8952054517827064</v>
      </c>
    </row>
    <row r="25" spans="1:2" x14ac:dyDescent="0.25">
      <c r="A25" t="s">
        <v>26</v>
      </c>
      <c r="B25" s="10">
        <f>1-B24</f>
        <v>0.10479454821729361</v>
      </c>
    </row>
    <row r="26" spans="1:2" x14ac:dyDescent="0.25">
      <c r="A26" t="s">
        <v>27</v>
      </c>
      <c r="B26" s="12">
        <f>B24*B20+B25*B21*(1-B8)</f>
        <v>0.09551031987791257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11167000000</v>
      </c>
      <c r="C29" s="8" t="s">
        <v>30</v>
      </c>
    </row>
    <row r="30" spans="1:2" x14ac:dyDescent="0.25">
      <c r="A30" t="s">
        <v>31</v>
      </c>
      <c r="B30" s="11">
        <v>4777000000</v>
      </c>
    </row>
    <row r="31" spans="1:2" x14ac:dyDescent="0.25">
      <c r="A31" t="s">
        <v>32</v>
      </c>
      <c r="B31" s="13">
        <v>171100000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0.10122345018267498</v>
      </c>
      <c r="C5" s="10">
        <f>Assumptions!B6</f>
        <v>0.10122345018267498</v>
      </c>
      <c r="D5" s="10">
        <f>Assumptions!B6</f>
        <v>0.10122345018267498</v>
      </c>
      <c r="E5" s="10">
        <f>Assumptions!B6</f>
        <v>0.10122345018267498</v>
      </c>
      <c r="F5" s="10">
        <f>Assumptions!B6</f>
        <v>0.10122345018267498</v>
      </c>
    </row>
    <row r="6" spans="1:6" x14ac:dyDescent="0.25">
      <c r="A6" t="s">
        <v>43</v>
      </c>
      <c r="B6" s="18">
        <f>Assumptions!B29*(1+B5)</f>
        <v>12297362268.189932</v>
      </c>
      <c r="C6" s="18">
        <f>B6*(1+C5)</f>
        <v>13542143705.122362</v>
      </c>
      <c r="D6" s="18">
        <f>C6*(1+D5)</f>
        <v>14912926213.824442</v>
      </c>
      <c r="E6" s="18">
        <f>D6*(1+E5)</f>
        <v>16422464057.507408</v>
      </c>
      <c r="F6" s="18">
        <f>E6*(1+F5)</f>
        <v>18084802529.90928</v>
      </c>
    </row>
    <row r="7" spans="1:6" x14ac:dyDescent="0.25">
      <c r="A7" t="s">
        <v>5</v>
      </c>
      <c r="B7" s="10">
        <f>Assumptions!B7</f>
        <v>0.14179932505985238</v>
      </c>
      <c r="C7" s="10">
        <f>Assumptions!B7</f>
        <v>0.14179932505985238</v>
      </c>
      <c r="D7" s="10">
        <f>Assumptions!B7</f>
        <v>0.14179932505985238</v>
      </c>
      <c r="E7" s="10">
        <f>Assumptions!B7</f>
        <v>0.14179932505985238</v>
      </c>
      <c r="F7" s="10">
        <f>Assumptions!B7</f>
        <v>0.14179932505985238</v>
      </c>
    </row>
    <row r="8" spans="1:6" x14ac:dyDescent="0.25">
      <c r="A8" t="s">
        <v>44</v>
      </c>
      <c r="B8" s="18">
        <f>B6*B7</f>
        <v>1743757669.6458278</v>
      </c>
      <c r="C8" s="18">
        <f>C6*C7</f>
        <v>1920266837.2498796</v>
      </c>
      <c r="D8" s="18">
        <f>D6*D7</f>
        <v>2114642871.7876856</v>
      </c>
      <c r="E8" s="18">
        <f>E6*E7</f>
        <v>2328694319.1742353</v>
      </c>
      <c r="F8" s="18">
        <f>F6*F7</f>
        <v>2564412792.581846</v>
      </c>
    </row>
    <row r="9" spans="1:6" x14ac:dyDescent="0.25">
      <c r="A9" t="s">
        <v>45</v>
      </c>
      <c r="B9" s="18">
        <f>B8*(1-Assumptions!B8)</f>
        <v>1377568559.020204</v>
      </c>
      <c r="C9" s="18">
        <f>C8*(1-Assumptions!B8)</f>
        <v>1517010801.4274049</v>
      </c>
      <c r="D9" s="18">
        <f>D8*(1-Assumptions!B8)</f>
        <v>1670567868.7122717</v>
      </c>
      <c r="E9" s="18">
        <f>E8*(1-Assumptions!B8)</f>
        <v>1839668512.147646</v>
      </c>
      <c r="F9" s="18">
        <f>F8*(1-Assumptions!B8)</f>
        <v>2025886106.1396587</v>
      </c>
    </row>
    <row r="10" spans="1:6" x14ac:dyDescent="0.25">
      <c r="A10" t="s">
        <v>46</v>
      </c>
      <c r="B10" s="18">
        <f>B6*Assumptions!B9</f>
        <v>569831761.0976107</v>
      </c>
      <c r="C10" s="18">
        <f>C6*Assumptions!B9</f>
        <v>627512097.9795806</v>
      </c>
      <c r="D10" s="18">
        <f>D6*Assumptions!B9</f>
        <v>691031037.5684426</v>
      </c>
      <c r="E10" s="18">
        <f>E6*Assumptions!B9</f>
        <v>760979583.3744341</v>
      </c>
      <c r="F10" s="18">
        <f>F6*Assumptions!B9</f>
        <v>838008562.3221688</v>
      </c>
    </row>
    <row r="11" spans="1:6" x14ac:dyDescent="0.25">
      <c r="A11" t="s">
        <v>47</v>
      </c>
      <c r="B11" s="18">
        <f>-B6*Assumptions!B10</f>
        <v>-631609662.1185504</v>
      </c>
      <c r="C11" s="18">
        <f>-C6*Assumptions!B10</f>
        <v>-695543371.2869036</v>
      </c>
      <c r="D11" s="18">
        <f>-D6*Assumptions!B10</f>
        <v>-765948671.0802534</v>
      </c>
      <c r="E11" s="18">
        <f>-E6*Assumptions!B10</f>
        <v>-843480638.2298316</v>
      </c>
      <c r="F11" s="18">
        <f>-F6*Assumptions!B10</f>
        <v>-928860658.5937397</v>
      </c>
    </row>
    <row r="12" spans="1:6" x14ac:dyDescent="0.25">
      <c r="A12" t="s">
        <v>48</v>
      </c>
      <c r="B12" s="18">
        <f>-(B6-Assumptions!B29)*Assumptions!B11</f>
        <v>10144276.765807081</v>
      </c>
      <c r="C12" s="18">
        <f>-(C6-B6)*Assumptions!B11</f>
        <v>11171115.459650014</v>
      </c>
      <c r="D12" s="18">
        <f>-(D6-C6)*Assumptions!B11</f>
        <v>12301894.308864817</v>
      </c>
      <c r="E12" s="18">
        <f>-(E6-D6)*Assumptions!B11</f>
        <v>13547134.494590722</v>
      </c>
      <c r="F12" s="18">
        <f>-(F6-E6)*Assumptions!B11</f>
        <v>14918422.188221917</v>
      </c>
    </row>
    <row r="13" spans="1:6" x14ac:dyDescent="0.25">
      <c r="A13" s="19" t="s">
        <v>49</v>
      </c>
      <c r="B13" s="20">
        <f>B9+B10+B11+B12</f>
        <v>1325934934.7650714</v>
      </c>
      <c r="C13" s="20">
        <f>C9+C10+C11+C12</f>
        <v>1460150643.579732</v>
      </c>
      <c r="D13" s="20">
        <f>D9+D10+D11+D12</f>
        <v>1607952129.5093255</v>
      </c>
      <c r="E13" s="20">
        <f>E9+E10+E11+E12</f>
        <v>1770714591.786839</v>
      </c>
      <c r="F13" s="20">
        <f>F9+F10+F11+F12</f>
        <v>1949952432.0563095</v>
      </c>
    </row>
    <row r="14" spans="1:6" x14ac:dyDescent="0.25">
      <c r="A14" t="s">
        <v>50</v>
      </c>
      <c r="B14" s="21">
        <f>1/(1+Assumptions!$B$26)^(1-0.5*Assumptions!$B$32)</f>
        <v>0.955414357763056</v>
      </c>
      <c r="C14" s="21">
        <f>1/(1+Assumptions!$B$26)^(2-0.5*Assumptions!$B$32)</f>
        <v>0.8721180808862946</v>
      </c>
      <c r="D14" s="21">
        <f>1/(1+Assumptions!$B$26)^(3-0.5*Assumptions!$B$32)</f>
        <v>0.7960838570498237</v>
      </c>
      <c r="E14" s="21">
        <f>1/(1+Assumptions!$B$26)^(4-0.5*Assumptions!$B$32)</f>
        <v>0.7266785557424433</v>
      </c>
      <c r="F14" s="21">
        <f>1/(1+Assumptions!$B$26)^(5-0.5*Assumptions!$B$32)</f>
        <v>0.6633242449267176</v>
      </c>
    </row>
    <row r="15" spans="1:6" x14ac:dyDescent="0.25">
      <c r="A15" s="19" t="s">
        <v>51</v>
      </c>
      <c r="B15" s="20">
        <f>B13*B14</f>
        <v>1266817274.1341703</v>
      </c>
      <c r="C15" s="20">
        <f>C13*C14</f>
        <v>1273423777.083644</v>
      </c>
      <c r="D15" s="20">
        <f>D13*D14</f>
        <v>1280064733.2112615</v>
      </c>
      <c r="E15" s="20">
        <f>E13*E14</f>
        <v>1286740322.1917303</v>
      </c>
      <c r="F15" s="20">
        <f>F13*F14</f>
        <v>1293450724.636768</v>
      </c>
    </row>
    <row r="17" spans="1:2" x14ac:dyDescent="0.25">
      <c r="A17" s="22" t="s">
        <v>52</v>
      </c>
      <c r="B17" s="23">
        <f>SUM(B15:F15)</f>
        <v>6400496831.257575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1949952432.0563095</v>
      </c>
    </row>
    <row r="5" spans="1:2" x14ac:dyDescent="0.25">
      <c r="A5" t="s">
        <v>56</v>
      </c>
      <c r="B5" s="18">
        <f>IF(Assumptions!$B$33=0,B4,B4-Forecast!F11-Forecast!F10-Forecast!F12)</f>
        <v>2025886106.1396587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0.26175181940502984</v>
      </c>
    </row>
    <row r="7" spans="1:2" x14ac:dyDescent="0.25">
      <c r="A7" t="s">
        <v>58</v>
      </c>
      <c r="B7" s="18">
        <f>-MAX(Forecast!F9,0)*B6</f>
        <v>-530279374.1894271</v>
      </c>
    </row>
    <row r="8" spans="1:2" x14ac:dyDescent="0.25">
      <c r="A8" t="s">
        <v>59</v>
      </c>
      <c r="B8" s="18">
        <f>IF(OR(Assumptions!$B$33=0,Assumptions!B12&lt;=0),B5,MAX(B5+B7,0))</f>
        <v>1495606731.9502316</v>
      </c>
    </row>
    <row r="9" spans="1:2" x14ac:dyDescent="0.25">
      <c r="A9" t="s">
        <v>60</v>
      </c>
      <c r="B9" s="18">
        <f>B8*(1+Assumptions!B12)/(Assumptions!B26-Assumptions!B12)</f>
        <v>21741454341.766506</v>
      </c>
    </row>
    <row r="10" spans="1:2" x14ac:dyDescent="0.25">
      <c r="A10" t="s">
        <v>61</v>
      </c>
      <c r="B10" s="18">
        <f>B9/(1+Assumptions!B26)^(5-0.5*Assumptions!B32)</f>
        <v>14421633784.860973</v>
      </c>
    </row>
    <row r="11" spans="1:2" x14ac:dyDescent="0.25">
      <c r="A11" t="s">
        <v>62</v>
      </c>
      <c r="B11" s="18">
        <f>Forecast!B17+B10</f>
        <v>20822130616.11855</v>
      </c>
    </row>
    <row r="12" spans="1:2" x14ac:dyDescent="0.25">
      <c r="A12" t="s">
        <v>63</v>
      </c>
      <c r="B12" s="18">
        <f>-Assumptions!B30</f>
        <v>-4777000000</v>
      </c>
    </row>
    <row r="13" spans="1:2" x14ac:dyDescent="0.25">
      <c r="A13" t="s">
        <v>64</v>
      </c>
      <c r="B13" s="18">
        <f>B11+B12</f>
        <v>16045130616.11855</v>
      </c>
    </row>
    <row r="14" spans="1:2" x14ac:dyDescent="0.25">
      <c r="A14" s="19" t="s">
        <v>65</v>
      </c>
      <c r="B14" s="24">
        <f>B13/Assumptions!B31</f>
        <v>93.77633323272092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3402421354.904015</v>
      </c>
    </row>
    <row r="18" spans="1:2" x14ac:dyDescent="0.25">
      <c r="A18" t="s">
        <v>60</v>
      </c>
      <c r="B18" s="18">
        <f>B17*Assumptions!B13</f>
        <v>68048427098.0803</v>
      </c>
    </row>
    <row r="19" spans="1:2" x14ac:dyDescent="0.25">
      <c r="A19" t="s">
        <v>61</v>
      </c>
      <c r="B19" s="18">
        <f>B18/(1+Assumptions!B26)^(5-0.5*Assumptions!B32)</f>
        <v>45138171523.284904</v>
      </c>
    </row>
    <row r="20" spans="1:2" x14ac:dyDescent="0.25">
      <c r="A20" t="s">
        <v>62</v>
      </c>
      <c r="B20" s="18">
        <f>Forecast!B17+B19</f>
        <v>51538668354.54248</v>
      </c>
    </row>
    <row r="21" spans="1:2" x14ac:dyDescent="0.25">
      <c r="A21" t="s">
        <v>63</v>
      </c>
      <c r="B21" s="18">
        <f>-Assumptions!B30</f>
        <v>-4777000000</v>
      </c>
    </row>
    <row r="22" spans="1:2" x14ac:dyDescent="0.25">
      <c r="A22" t="s">
        <v>64</v>
      </c>
      <c r="B22" s="18">
        <f>B20+B21</f>
        <v>46761668354.54248</v>
      </c>
    </row>
    <row r="23" spans="1:2" x14ac:dyDescent="0.25">
      <c r="A23" s="19" t="s">
        <v>65</v>
      </c>
      <c r="B23" s="25">
        <f>B22/Assumptions!B31</f>
        <v>273.30022416447974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280.23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93.77633323272092</v>
      </c>
    </row>
    <row r="29" spans="1:2" x14ac:dyDescent="0.25">
      <c r="A29" s="19" t="s">
        <v>73</v>
      </c>
      <c r="B29" s="12">
        <f>B28/B26-1</f>
        <v>-0.6653594075126827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0.07551</v>
      </c>
      <c r="B5" s="31">
        <v>126.45262095288922</v>
      </c>
      <c r="C5" s="31">
        <v>127.23885738069183</v>
      </c>
      <c r="D5" s="31">
        <v>128.0707794883124</v>
      </c>
      <c r="E5" s="31">
        <v>128.96344517944837</v>
      </c>
      <c r="F5" s="31">
        <v>129.93934652402635</v>
      </c>
    </row>
    <row r="6" spans="1:6" x14ac:dyDescent="0.25">
      <c r="A6" s="30">
        <v>0.08551</v>
      </c>
      <c r="B6" s="31">
        <v>107.51725042689412</v>
      </c>
      <c r="C6" s="31">
        <v>107.99584292351545</v>
      </c>
      <c r="D6" s="31">
        <v>108.47443542013677</v>
      </c>
      <c r="E6" s="31">
        <v>108.9530279167581</v>
      </c>
      <c r="F6" s="31">
        <v>109.43162041337939</v>
      </c>
    </row>
    <row r="7" spans="1:6" x14ac:dyDescent="0.25">
      <c r="A7" s="30">
        <v>0.09551</v>
      </c>
      <c r="B7" s="31">
        <v>92.95443036369076</v>
      </c>
      <c r="C7" s="31">
        <v>93.36559203022763</v>
      </c>
      <c r="D7" s="32">
        <v>93.7767536967645</v>
      </c>
      <c r="E7" s="31">
        <v>94.18791536330133</v>
      </c>
      <c r="F7" s="31">
        <v>94.59907702983818</v>
      </c>
    </row>
    <row r="8" spans="1:6" x14ac:dyDescent="0.25">
      <c r="A8" s="30">
        <v>0.10551</v>
      </c>
      <c r="B8" s="31">
        <v>81.17591047120287</v>
      </c>
      <c r="C8" s="31">
        <v>81.53319100822439</v>
      </c>
      <c r="D8" s="31">
        <v>81.89047154524589</v>
      </c>
      <c r="E8" s="31">
        <v>82.24775208226741</v>
      </c>
      <c r="F8" s="31">
        <v>82.60503261928895</v>
      </c>
    </row>
    <row r="9" spans="1:6" x14ac:dyDescent="0.25">
      <c r="A9" s="30">
        <v>0.11551</v>
      </c>
      <c r="B9" s="31">
        <v>71.45746983425148</v>
      </c>
      <c r="C9" s="31">
        <v>71.77085961567347</v>
      </c>
      <c r="D9" s="31">
        <v>72.08424939709546</v>
      </c>
      <c r="E9" s="31">
        <v>72.3976391785175</v>
      </c>
      <c r="F9" s="31">
        <v>72.71102895993947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11167000000</v>
      </c>
      <c r="C5" s="18">
        <v>10387000000</v>
      </c>
      <c r="D5" s="18">
        <v>9677000000</v>
      </c>
      <c r="E5" s="18">
        <v>8362000000</v>
      </c>
      <c r="F5" s="8" t="s">
        <v>84</v>
      </c>
    </row>
    <row r="6" spans="1:6" x14ac:dyDescent="0.25">
      <c r="A6" t="s">
        <v>44</v>
      </c>
      <c r="B6" s="18">
        <v>1793000000</v>
      </c>
      <c r="C6" s="18">
        <v>1609000000</v>
      </c>
      <c r="D6" s="18">
        <v>1266000000</v>
      </c>
      <c r="E6" s="18">
        <v>1011000000</v>
      </c>
      <c r="F6" s="8" t="s">
        <v>85</v>
      </c>
    </row>
    <row r="7" spans="1:6" x14ac:dyDescent="0.25">
      <c r="A7" t="s">
        <v>86</v>
      </c>
      <c r="B7" s="18">
        <v>457000000</v>
      </c>
      <c r="C7" s="18">
        <v>459000000</v>
      </c>
      <c r="D7" s="18">
        <v>477000000</v>
      </c>
      <c r="E7" s="18">
        <v>426000000</v>
      </c>
      <c r="F7" s="8" t="s">
        <v>87</v>
      </c>
    </row>
    <row r="8" spans="1:6" x14ac:dyDescent="0.25">
      <c r="A8" t="s">
        <v>88</v>
      </c>
      <c r="B8" s="18">
        <v>260000000</v>
      </c>
      <c r="C8" s="18">
        <v>207000000</v>
      </c>
      <c r="D8" s="18">
        <v>186000000</v>
      </c>
      <c r="E8" s="18">
        <v>149000000</v>
      </c>
      <c r="F8" s="8" t="s">
        <v>89</v>
      </c>
    </row>
    <row r="9" spans="1:6" x14ac:dyDescent="0.25">
      <c r="A9" t="s">
        <v>90</v>
      </c>
      <c r="B9" s="18">
        <v>-7000000</v>
      </c>
      <c r="C9" s="18">
        <v>-187000000</v>
      </c>
      <c r="D9" s="18">
        <v>97000000</v>
      </c>
      <c r="E9" s="18">
        <v>109000000</v>
      </c>
      <c r="F9" s="8" t="s">
        <v>91</v>
      </c>
    </row>
    <row r="10" spans="1:6" x14ac:dyDescent="0.25">
      <c r="A10" t="s">
        <v>92</v>
      </c>
      <c r="B10" s="18">
        <v>5541000000</v>
      </c>
      <c r="C10" s="18">
        <v>3980000000</v>
      </c>
      <c r="D10" s="18">
        <v>4069000000</v>
      </c>
      <c r="E10" s="18">
        <v>4002000000</v>
      </c>
      <c r="F10" s="8" t="s">
        <v>93</v>
      </c>
    </row>
    <row r="11" spans="1:6" x14ac:dyDescent="0.25">
      <c r="A11" t="s">
        <v>94</v>
      </c>
      <c r="B11" s="18">
        <v>764000000</v>
      </c>
      <c r="C11" s="18">
        <v>715000000</v>
      </c>
      <c r="D11" s="18">
        <v>620000000</v>
      </c>
      <c r="E11" s="18">
        <v>541000000</v>
      </c>
      <c r="F11" s="8" t="s">
        <v>95</v>
      </c>
    </row>
    <row r="12" spans="1:6" x14ac:dyDescent="0.25">
      <c r="A12" t="s">
        <v>32</v>
      </c>
      <c r="B12" s="34">
        <v>171100000</v>
      </c>
      <c r="C12" s="34">
        <v>174800000</v>
      </c>
      <c r="D12" s="34">
        <v>179500000</v>
      </c>
      <c r="E12" s="34">
        <v>182800000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2026-09-19T00:06:44Z</dcterms:modified>
</cp:coreProperties>
</file>