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<sst xmlns="http://schemas.openxmlformats.org/spreadsheetml/2006/main" count="120" uniqueCount="107">
  <si>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Waters Corporation (WAT)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</si>
  <si>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</si>
  <si>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</si>
  <si>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</si>
  <si>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</si>
  <si>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</si>
  <si>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</si>
  <si>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</si>
  <si>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</si>
  <si>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</si>
  <si>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</si>
  <si>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</si>
  <si>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</si>
  <si>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</si>
  <si>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</si>
  <si>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</si>
  <si>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</si>
  <si>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</si>
  <si>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</si>
  <si>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</si>
  <si>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</si>
  <si>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</si>
  <si>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</si>
  <si>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</si>
  <si>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11.5x interest cover. Book interest / average debt was lower, at 4.4%.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</si>
  <si>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</si>
  <si>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</si>
  <si>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</si>
  <si>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</si>
  <si>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</si>
  <si>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</si>
  <si>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</si>
  <si>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</si>
  <si>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</si>
  <si>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</si>
  <si>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</si>
  <si>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</si>
  <si>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</si>
  <si>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</si>
  <si>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</si>
  <si>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</si>
  <si>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</si>
  <si>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</si>
  <si>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</si>
  <si>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</si>
  <si>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</si>
  <si>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</si>
  <si>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</si>
  <si>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</si>
  <si>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</si>
  <si>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</si>
  <si>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</si>
  <si>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</si>
  <si>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</si>
  <si>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</si>
  <si>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</si>
  <si>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</si>
  <si>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</si>
  <si>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</si>
  <si>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</si>
  <si>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</si>
  <si>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</si>
  <si>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</si>
  <si>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</si>
  <si>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</si>
  <si>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</si>
  <si>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</si>
  <si>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</si>
  <si>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</si>
  <si>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</si>
  <si>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</si>
  <si>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</si>
  <si>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</si>
  <si>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</si>
  <si>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</si>
  <si>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</si>
  <si>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</si>
  <si>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</si>
  <si>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</si>
  <si>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</si>
  <si>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</si>
  <si>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</si>
  <si>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</si>
  <si>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</si>
  <si>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</si>
  <si>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</si>
  <si>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</si>
  <si>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</si>
  <si>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</si>
  <si>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</si>
  <si>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</si>
  <si>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</si>
  <si>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</si>
  <si>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</si>
  <si>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</si>
  <si>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</si>
  <si>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</si>
  <si>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</si>
  <si>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</si>
  <si>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</si>
  <si>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</si>
  <si>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</si>
  <si>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</si>
  <si>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</si>
  <si>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</si>
  <si>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45.9x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</si>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</sst>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0.5</v>
      </c>
    </row>
    <row r="7" spans="1:2" x14ac:dyDescent="0.25">
      <c r="A7" t="s">
        <v>4</v>
      </c>
      <c r="B7" s="5">
        <v>0.27763681490390507</v>
      </c>
    </row>
    <row r="8" spans="1:2" x14ac:dyDescent="0.25">
      <c r="A8" t="s">
        <v>5</v>
      </c>
      <c r="B8" s="5">
        <v>0.15186861346486907</v>
      </c>
    </row>
    <row r="9" spans="1:2" x14ac:dyDescent="0.25">
      <c r="A9" t="s">
        <v>6</v>
      </c>
      <c r="B9" s="5">
        <v>0.05749961465818209</v>
      </c>
    </row>
    <row r="10" spans="1:3" x14ac:dyDescent="0.25">
      <c r="A10" t="s">
        <v>7</v>
      </c>
      <c r="B10" s="5">
        <v>0.04996083252974079</v>
      </c>
      <c r="C10" s="6" t="s">
        <v>8</v>
      </c>
    </row>
    <row r="11" spans="1:2" x14ac:dyDescent="0.25">
      <c r="A11" t="s">
        <v>9</v>
      </c>
      <c r="B11" s="5">
        <v>0.3794550579095457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0.2017518558912158</v>
      </c>
      <c r="C14" s="6" t="s">
        <v>13</v>
      </c>
    </row>
    <row r="15" spans="1:3" x14ac:dyDescent="0.25">
      <c r="A15" t="s">
        <v>14</v>
      </c>
      <c r="B15" s="5">
        <v>0.027527767972709873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1.0998299999999999</v>
      </c>
      <c r="C19" s="6" t="s">
        <v>21</v>
      </c>
    </row>
    <row r="20" spans="1:2" x14ac:dyDescent="0.25">
      <c r="A20" t="s">
        <v>22</v>
      </c>
      <c r="B20" s="9">
        <f>B17+B19*B18</f>
        <v>0.095462809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45432557568</v>
      </c>
    </row>
    <row r="23" spans="1:2" x14ac:dyDescent="0.25">
      <c r="A23" t="s">
        <v>26</v>
      </c>
      <c r="B23" s="10">
        <v>1491084000</v>
      </c>
    </row>
    <row r="24" spans="1:2" x14ac:dyDescent="0.25">
      <c r="A24" t="s">
        <v>27</v>
      </c>
      <c r="B24" s="9">
        <f>B22/(B22+B23)</f>
        <v>0.968223182383678</v>
      </c>
    </row>
    <row r="25" spans="1:2" x14ac:dyDescent="0.25">
      <c r="A25" t="s">
        <v>28</v>
      </c>
      <c r="B25" s="9">
        <f>1-B24</f>
        <v>0.031776817616322006</v>
      </c>
    </row>
    <row r="26" spans="1:2" x14ac:dyDescent="0.25">
      <c r="A26" t="s">
        <v>29</v>
      </c>
      <c r="B26" s="11">
        <f>B24*B20+B25*B21*(1-B8)</f>
        <v>0.0938560862426662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3165286000</v>
      </c>
      <c r="C29" s="6" t="s">
        <v>32</v>
      </c>
    </row>
    <row r="30" spans="1:2" x14ac:dyDescent="0.25">
      <c r="A30" t="s">
        <v>33</v>
      </c>
      <c r="B30" s="10">
        <v>903253000</v>
      </c>
    </row>
    <row r="31" spans="1:2" x14ac:dyDescent="0.25">
      <c r="A31" t="s">
        <v>34</v>
      </c>
      <c r="B31" s="12">
        <v>59706000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0.5</v>
      </c>
      <c r="C5" s="5">
        <v>0.10444635755573328</v>
      </c>
      <c r="D5" s="5">
        <v>0.09451556286126662</v>
      </c>
      <c r="E5" s="5">
        <v>0.08458476816679997</v>
      </c>
      <c r="F5" s="5">
        <v>0.0746539734723333</v>
      </c>
      <c r="G5" s="5">
        <v>0.06472317877786664</v>
      </c>
      <c r="H5" s="5">
        <v>0.05479238408339998</v>
      </c>
      <c r="I5" s="5">
        <v>0.044861589388933316</v>
      </c>
      <c r="J5" s="5">
        <v>0.03493079469446665</v>
      </c>
      <c r="K5" s="5">
        <v>0.024999999999999994</v>
      </c>
    </row>
    <row r="6" spans="1:11" x14ac:dyDescent="0.25">
      <c r="A6" t="s">
        <v>50</v>
      </c>
      <c r="B6" s="18">
        <f>Assumptions!B29*(1+B5)</f>
        <v>4747929000</v>
      </c>
      <c r="C6" s="18">
        <f>B6*(1+C5)</f>
        <v>5243832889.983235</v>
      </c>
      <c r="D6" s="18">
        <f>C6*(1+D5)</f>
        <v>5739456707.130424</v>
      </c>
      <c r="E6" s="18">
        <f>D6*(1+E5)</f>
        <v>6224927322.106436</v>
      </c>
      <c r="F6" s="18">
        <f>E6*(1+F5)</f>
        <v>6689642881.2781725</v>
      </c>
      <c r="G6" s="18">
        <f>F6*(1+G5)</f>
        <v>7122617833.443222</v>
      </c>
      <c r="H6" s="18">
        <f>G6*(1+H5)</f>
        <v>7512883045.452517</v>
      </c>
      <c r="I6" s="18">
        <f>H6*(1+I5)</f>
        <v>7849922919.764686</v>
      </c>
      <c r="J6" s="18">
        <f>I6*(1+J5)</f>
        <v>8124126965.642373</v>
      </c>
      <c r="K6" s="18">
        <f>J6*(1+K5)</f>
        <v>8327230139.783432</v>
      </c>
    </row>
    <row r="7" spans="1:11" x14ac:dyDescent="0.25">
      <c r="A7" t="s">
        <v>4</v>
      </c>
      <c r="B7" s="9">
        <f>Assumptions!B7</f>
        <v>0.27763681490390507</v>
      </c>
      <c r="C7" s="9">
        <f>Assumptions!B7</f>
        <v>0.27763681490390507</v>
      </c>
      <c r="D7" s="9">
        <f>Assumptions!B7</f>
        <v>0.27763681490390507</v>
      </c>
      <c r="E7" s="9">
        <f>Assumptions!B7</f>
        <v>0.27763681490390507</v>
      </c>
      <c r="F7" s="9">
        <f>Assumptions!B7</f>
        <v>0.27763681490390507</v>
      </c>
      <c r="G7" s="9">
        <f>Assumptions!B7</f>
        <v>0.27763681490390507</v>
      </c>
      <c r="H7" s="9">
        <f>Assumptions!B7</f>
        <v>0.27763681490390507</v>
      </c>
      <c r="I7" s="9">
        <f>Assumptions!B7</f>
        <v>0.27763681490390507</v>
      </c>
      <c r="J7" s="9">
        <f>Assumptions!B7</f>
        <v>0.27763681490390507</v>
      </c>
      <c r="K7" s="9">
        <f>Assumptions!B7</f>
        <v>0.27763681490390507</v>
      </c>
    </row>
    <row r="8" spans="1:11" x14ac:dyDescent="0.25">
      <c r="A8" t="s">
        <v>51</v>
      </c>
      <c r="B8" s="18">
        <f>B6*B7</f>
        <v>1318199884.949883</v>
      </c>
      <c r="C8" s="18">
        <f>C6*C7</f>
        <v>1455881061.4632852</v>
      </c>
      <c r="D8" s="18">
        <f>D6*D7</f>
        <v>1593484479.4465458</v>
      </c>
      <c r="E8" s="18">
        <f>E6*E7</f>
        <v>1728268994.717926</v>
      </c>
      <c r="F8" s="18">
        <f>F6*F7</f>
        <v>1857291142.4026542</v>
      </c>
      <c r="G8" s="18">
        <f>G6*G7</f>
        <v>1977500929.0549293</v>
      </c>
      <c r="H8" s="18">
        <f>H6*H7</f>
        <v>2085852919.484987</v>
      </c>
      <c r="I8" s="18">
        <f>I6*I7</f>
        <v>2179427596.68463</v>
      </c>
      <c r="J8" s="18">
        <f>J6*J7</f>
        <v>2255556734.6158757</v>
      </c>
      <c r="K8" s="18">
        <f>K6*K7</f>
        <v>2311945652.981272</v>
      </c>
    </row>
    <row r="9" spans="1:11" x14ac:dyDescent="0.25">
      <c r="A9" t="s">
        <v>52</v>
      </c>
      <c r="B9" s="18">
        <f>B8*(1-Assumptions!B8)</f>
        <v>1118006696.1529944</v>
      </c>
      <c r="C9" s="18">
        <f>C8*(1-Assumptions!B8)</f>
        <v>1234778423.2890944</v>
      </c>
      <c r="D9" s="18">
        <f>D8*(1-Assumptions!B8)</f>
        <v>1351484200.9752104</v>
      </c>
      <c r="E9" s="18">
        <f>E8*(1-Assumptions!B8)</f>
        <v>1465799178.7957916</v>
      </c>
      <c r="F9" s="18">
        <f>F8*(1-Assumptions!B8)</f>
        <v>1575226911.8053806</v>
      </c>
      <c r="G9" s="18">
        <f>G8*(1-Assumptions!B8)</f>
        <v>1677180604.8338668</v>
      </c>
      <c r="H9" s="18">
        <f>H8*(1-Assumptions!B8)</f>
        <v>1769077328.711153</v>
      </c>
      <c r="I9" s="18">
        <f>I8*(1-Assumptions!B8)</f>
        <v>1848440949.4290633</v>
      </c>
      <c r="J9" s="18">
        <f>J8*(1-Assumptions!B8)</f>
        <v>1913008460.7384152</v>
      </c>
      <c r="K9" s="18">
        <f>K8*(1-Assumptions!B8)</f>
        <v>1960833672.2568753</v>
      </c>
    </row>
    <row r="10" spans="1:11" x14ac:dyDescent="0.25">
      <c r="A10" t="s">
        <v>53</v>
      </c>
      <c r="B10" s="18">
        <f>B6*Assumptions!B9</f>
        <v>273004087.92440784</v>
      </c>
      <c r="C10" s="18">
        <f>C6*Assumptions!B9</f>
        <v>301518370.5059374</v>
      </c>
      <c r="D10" s="18">
        <f>D6*Assumptions!B9</f>
        <v>330016549.007318</v>
      </c>
      <c r="E10" s="18">
        <f>E6*Assumptions!B9</f>
        <v>357930922.2963094</v>
      </c>
      <c r="F10" s="18">
        <f>F6*Assumptions!B9</f>
        <v>384651887.8743459</v>
      </c>
      <c r="G10" s="18">
        <f>G6*Assumptions!B9</f>
        <v>409547780.78048104</v>
      </c>
      <c r="H10" s="18">
        <f>H6*Assumptions!B9</f>
        <v>431987880.08550924</v>
      </c>
      <c r="I10" s="18">
        <f>I6*Assumptions!B9</f>
        <v>451367542.98290104</v>
      </c>
      <c r="J10" s="18">
        <f>J6*Assumptions!B9</f>
        <v>467134169.9585826</v>
      </c>
      <c r="K10" s="18">
        <f>K6*Assumptions!B9</f>
        <v>478812524.2075471</v>
      </c>
    </row>
    <row r="11" spans="1:11" x14ac:dyDescent="0.25">
      <c r="A11" t="s">
        <v>54</v>
      </c>
      <c r="B11" s="18">
        <f>-B6*B19</f>
        <v>-237210485.63209966</v>
      </c>
      <c r="C11" s="18">
        <f>-C6*C19</f>
        <v>-267751753.24626884</v>
      </c>
      <c r="D11" s="18">
        <f>-D6*D19</f>
        <v>-299368886.4662213</v>
      </c>
      <c r="E11" s="18">
        <f>-E6*E19</f>
        <v>-331535125.76169574</v>
      </c>
      <c r="F11" s="18">
        <f>-F6*F19</f>
        <v>-363640677.7688376</v>
      </c>
      <c r="G11" s="18">
        <f>-G6*G19</f>
        <v>-395007843.7712178</v>
      </c>
      <c r="H11" s="18">
        <f>-H6*H19</f>
        <v>-424911539.98582673</v>
      </c>
      <c r="I11" s="18">
        <f>-I6*I19</f>
        <v>-452604590.7948823</v>
      </c>
      <c r="J11" s="18">
        <f>-J6*J19</f>
        <v>-477346754.8412687</v>
      </c>
      <c r="K11" s="18">
        <f>-K6*K19</f>
        <v>-498436057.87004673</v>
      </c>
    </row>
    <row r="12" spans="1:11" x14ac:dyDescent="0.25">
      <c r="A12" t="s">
        <v>55</v>
      </c>
      <c r="B12" s="18">
        <f>-(B6-Assumptions!B29)*Assumptions!B11</f>
        <v>-600541891.2151371</v>
      </c>
      <c r="C12" s="18">
        <f>-(C6-B6)*Assumptions!B11</f>
        <v>-188173239.29115754</v>
      </c>
      <c r="D12" s="18">
        <f>-(D6-C6)*Assumptions!B11</f>
        <v>-188066964.2369364</v>
      </c>
      <c r="E12" s="18">
        <f>-(E6-D6)*Assumptions!B11</f>
        <v>-184214280.31910548</v>
      </c>
      <c r="F12" s="18">
        <f>-(F6-E6)*Assumptions!B11</f>
        <v>-176338669.41697827</v>
      </c>
      <c r="G12" s="18">
        <f>-(G6-F6)*Assumptions!B11</f>
        <v>-164294535.54717165</v>
      </c>
      <c r="H12" s="18">
        <f>-(H6-G6)*Assumptions!B11</f>
        <v>-148088108.62306798</v>
      </c>
      <c r="I12" s="18">
        <f>-(I6-H6)*Assumptions!B11</f>
        <v>-127891485.02495012</v>
      </c>
      <c r="J12" s="18">
        <f>-(J6-I6)*Assumptions!B11</f>
        <v>-104048112.10754962</v>
      </c>
      <c r="K12" s="18">
        <f>-(K6-J6)*Assumptions!B11</f>
        <v>-77068526.70530806</v>
      </c>
    </row>
    <row r="13" spans="1:11" x14ac:dyDescent="0.25">
      <c r="A13" s="19" t="s">
        <v>56</v>
      </c>
      <c r="B13" s="20">
        <f>B9+B10+B11+B12</f>
        <v>553258407.2301654</v>
      </c>
      <c r="C13" s="20">
        <f>C9+C10+C11+C12</f>
        <v>1080371801.2576056</v>
      </c>
      <c r="D13" s="20">
        <f>D9+D10+D11+D12</f>
        <v>1194064899.2793708</v>
      </c>
      <c r="E13" s="20">
        <f>E9+E10+E11+E12</f>
        <v>1307980695.0112998</v>
      </c>
      <c r="F13" s="20">
        <f>F9+F10+F11+F12</f>
        <v>1419899452.4939108</v>
      </c>
      <c r="G13" s="20">
        <f>G9+G10+G11+G12</f>
        <v>1527426006.2959585</v>
      </c>
      <c r="H13" s="20">
        <f>H9+H10+H11+H12</f>
        <v>1628065560.1877675</v>
      </c>
      <c r="I13" s="20">
        <f>I9+I10+I11+I12</f>
        <v>1719312416.592132</v>
      </c>
      <c r="J13" s="20">
        <f>J9+J10+J11+J12</f>
        <v>1798747763.7481792</v>
      </c>
      <c r="K13" s="20">
        <f>K9+K10+K11+K12</f>
        <v>1864141611.8890676</v>
      </c>
    </row>
    <row r="14" spans="1:11" x14ac:dyDescent="0.25">
      <c r="A14" t="s">
        <v>57</v>
      </c>
      <c r="B14" s="21">
        <f>1/(1+Assumptions!$B$26)^(1-0.5*Assumptions!$B$32)</f>
        <v>0.9561365192520414</v>
      </c>
      <c r="C14" s="21">
        <f>1/(1+Assumptions!$B$26)^(2-0.5*Assumptions!$B$32)</f>
        <v>0.8740971790323133</v>
      </c>
      <c r="D14" s="21">
        <f>1/(1+Assumptions!$B$26)^(3-0.5*Assumptions!$B$32)</f>
        <v>0.7990970567570618</v>
      </c>
      <c r="E14" s="21">
        <f>1/(1+Assumptions!$B$26)^(4-0.5*Assumptions!$B$32)</f>
        <v>0.7305321667148326</v>
      </c>
      <c r="F14" s="21">
        <f>1/(1+Assumptions!$B$26)^(5-0.5*Assumptions!$B$32)</f>
        <v>0.6678503469539299</v>
      </c>
      <c r="G14" s="21">
        <f>1/(1+Assumptions!$B$26)^(6-0.5*Assumptions!$B$32)</f>
        <v>0.6105468126506093</v>
      </c>
      <c r="H14" s="21">
        <f>1/(1+Assumptions!$B$26)^(7-0.5*Assumptions!$B$32)</f>
        <v>0.5581600910114264</v>
      </c>
      <c r="I14" s="21">
        <f>1/(1+Assumptions!$B$26)^(8-0.5*Assumptions!$B$32)</f>
        <v>0.5102683049729829</v>
      </c>
      <c r="J14" s="21">
        <f>1/(1+Assumptions!$B$26)^(9-0.5*Assumptions!$B$32)</f>
        <v>0.46648577577122213</v>
      </c>
      <c r="K14" s="21">
        <f>1/(1+Assumptions!$B$26)^(10-0.5*Assumptions!$B$32)</f>
        <v>0.4264599170203224</v>
      </c>
    </row>
    <row r="15" spans="1:11" x14ac:dyDescent="0.25">
      <c r="A15" s="19" t="s">
        <v>58</v>
      </c>
      <c r="B15" s="20">
        <f>B13*B14</f>
        <v>528990567.7359787</v>
      </c>
      <c r="C15" s="20">
        <f>C13*C14</f>
        <v>944349943.7853321</v>
      </c>
      <c r="D15" s="20">
        <f>D13*D14</f>
        <v>954173746.5910627</v>
      </c>
      <c r="E15" s="20">
        <f>E13*E14</f>
        <v>955521971.1477774</v>
      </c>
      <c r="F15" s="20">
        <f>F13*F14</f>
        <v>948280341.9877534</v>
      </c>
      <c r="G15" s="20">
        <f>G13*G14</f>
        <v>932565079.7036469</v>
      </c>
      <c r="H15" s="20">
        <f>H13*H14</f>
        <v>908721221.2469732</v>
      </c>
      <c r="I15" s="20">
        <f>I13*I14</f>
        <v>877310632.5334703</v>
      </c>
      <c r="J15" s="20">
        <f>J13*J14</f>
        <v>839090245.9888203</v>
      </c>
      <c r="K15" s="20">
        <f>K13*K14</f>
        <v>794981677.1203418</v>
      </c>
    </row>
    <row r="17" spans="1:2" x14ac:dyDescent="0.25">
      <c r="A17" s="22" t="s">
        <v>59</v>
      </c>
      <c r="B17" s="23">
        <f>SUM(B15:K15)</f>
        <v>8683985427.841156</v>
      </c>
    </row>
    <row r="19" spans="1:11" x14ac:dyDescent="0.25">
      <c r="A19" t="s">
        <v>7</v>
      </c>
      <c r="B19" s="9">
        <f>Assumptions!$B$10+($B$20-Assumptions!$B$10)*0/9</f>
        <v>0.04996083252974079</v>
      </c>
      <c r="C19" s="9">
        <f>Assumptions!$B$10+($B$20-Assumptions!$B$10)*1/9</f>
        <v>0.0510603138703615</v>
      </c>
      <c r="D19" s="9">
        <f>Assumptions!$B$10+($B$20-Assumptions!$B$10)*2/9</f>
        <v>0.05215979521098222</v>
      </c>
      <c r="E19" s="9">
        <f>Assumptions!$B$10+($B$20-Assumptions!$B$10)*3/9</f>
        <v>0.05325927655160293</v>
      </c>
      <c r="F19" s="9">
        <f>Assumptions!$B$10+($B$20-Assumptions!$B$10)*4/9</f>
        <v>0.05435875789222364</v>
      </c>
      <c r="G19" s="9">
        <f>Assumptions!$B$10+($B$20-Assumptions!$B$10)*5/9</f>
        <v>0.05545823923284436</v>
      </c>
      <c r="H19" s="9">
        <f>Assumptions!$B$10+($B$20-Assumptions!$B$10)*6/9</f>
        <v>0.05655772057346507</v>
      </c>
      <c r="I19" s="9">
        <f>Assumptions!$B$10+($B$20-Assumptions!$B$10)*7/9</f>
        <v>0.057657201914085784</v>
      </c>
      <c r="J19" s="9">
        <f>Assumptions!$B$10+($B$20-Assumptions!$B$10)*8/9</f>
        <v>0.058756683254706496</v>
      </c>
      <c r="K19" s="9">
        <f>Assumptions!$B$10+($B$20-Assumptions!$B$10)*9/9</f>
        <v>0.059856164595327215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0.059856164595327215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1864141611.8890676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2172512394.4066586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0.12391459741257572</v>
      </c>
    </row>
    <row r="7" spans="1:2" x14ac:dyDescent="0.25">
      <c r="A7" t="s">
        <v>66</v>
      </c>
      <c r="B7" s="18">
        <f>-MAX(B5,0)*B6</f>
        <v>-269205998.726732</v>
      </c>
    </row>
    <row r="8" spans="1:2" x14ac:dyDescent="0.25">
      <c r="A8" t="s">
        <v>67</v>
      </c>
      <c r="B8" s="18">
        <f>IF(OR(Assumptions!$B$33=0,Assumptions!B12&lt;=0),B5,MAX(B5+B7,0))</f>
        <v>1903306395.6799266</v>
      </c>
    </row>
    <row r="9" spans="1:2" x14ac:dyDescent="0.25">
      <c r="A9" t="s">
        <v>68</v>
      </c>
      <c r="B9" s="18">
        <f>B8*(1+Assumptions!B12)/(Assumptions!B26-Assumptions!B12)</f>
        <v>28332848438.357357</v>
      </c>
    </row>
    <row r="10" spans="1:2" x14ac:dyDescent="0.25">
      <c r="A10" t="s">
        <v>69</v>
      </c>
      <c r="B10" s="18">
        <f>B9/(1+Assumptions!B26)^(10-0.5*Assumptions!B32)</f>
        <v>12082824193.971249</v>
      </c>
    </row>
    <row r="11" spans="1:2" x14ac:dyDescent="0.25">
      <c r="A11" t="s">
        <v>70</v>
      </c>
      <c r="B11" s="18">
        <f>Forecast!B17+B10</f>
        <v>20766809621.812405</v>
      </c>
    </row>
    <row r="12" spans="1:2" x14ac:dyDescent="0.25">
      <c r="A12" t="s">
        <v>71</v>
      </c>
      <c r="B12" s="18">
        <f>-Assumptions!B30</f>
        <v>-903253000</v>
      </c>
    </row>
    <row r="13" spans="1:2" x14ac:dyDescent="0.25">
      <c r="A13" t="s">
        <v>72</v>
      </c>
      <c r="B13" s="18">
        <f>B11+B12</f>
        <v>19863556621.812405</v>
      </c>
    </row>
    <row r="14" spans="1:2" x14ac:dyDescent="0.25">
      <c r="A14" s="19" t="s">
        <v>73</v>
      </c>
      <c r="B14" s="24">
        <f>B13/Assumptions!B31</f>
        <v>332.689455361478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2790758177.1888194</v>
      </c>
    </row>
    <row r="18" spans="1:2" x14ac:dyDescent="0.25">
      <c r="A18" t="s">
        <v>68</v>
      </c>
      <c r="B18" s="18">
        <f>B17*Assumptions!B13</f>
        <v>55815163543.77639</v>
      </c>
    </row>
    <row r="19" spans="1:2" x14ac:dyDescent="0.25">
      <c r="A19" t="s">
        <v>69</v>
      </c>
      <c r="B19" s="18">
        <f>B18/(1+Assumptions!B26)^(10-0.5*Assumptions!B32)</f>
        <v>23802930013.354603</v>
      </c>
    </row>
    <row r="20" spans="1:2" x14ac:dyDescent="0.25">
      <c r="A20" t="s">
        <v>70</v>
      </c>
      <c r="B20" s="18">
        <f>Forecast!B17+B19</f>
        <v>32486915441.19576</v>
      </c>
    </row>
    <row r="21" spans="1:2" x14ac:dyDescent="0.25">
      <c r="A21" t="s">
        <v>71</v>
      </c>
      <c r="B21" s="18">
        <f>-Assumptions!B30</f>
        <v>-903253000</v>
      </c>
    </row>
    <row r="22" spans="1:2" x14ac:dyDescent="0.25">
      <c r="A22" t="s">
        <v>72</v>
      </c>
      <c r="B22" s="18">
        <f>B20+B21</f>
        <v>31583662441.19576</v>
      </c>
    </row>
    <row r="23" spans="1:2" x14ac:dyDescent="0.25">
      <c r="A23" s="19" t="s">
        <v>73</v>
      </c>
      <c r="B23" s="25">
        <f>B22/Assumptions!B31</f>
        <v>528.986407416269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462.72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332.689455361478</v>
      </c>
    </row>
    <row r="29" spans="1:2" x14ac:dyDescent="0.25">
      <c r="A29" s="19" t="s">
        <v>81</v>
      </c>
      <c r="B29" s="11">
        <f>B28/B26-1</f>
        <v>-0.28101345227896357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0.073856</v>
      </c>
      <c r="B5" s="31">
        <v>444.91172000675357</v>
      </c>
      <c r="C5" s="31">
        <v>462.74136257773364</v>
      </c>
      <c r="D5" s="31">
        <v>484.63514900577667</v>
      </c>
      <c r="E5" s="31">
        <v>511.98313214239585</v>
      </c>
      <c r="F5" s="31">
        <v>546.8908542623653</v>
      </c>
    </row>
    <row r="6" spans="1:6" x14ac:dyDescent="0.25">
      <c r="A6" s="30">
        <v>0.083856</v>
      </c>
      <c r="B6" s="31">
        <v>372.99825898959125</v>
      </c>
      <c r="C6" s="31">
        <v>383.2787114351852</v>
      </c>
      <c r="D6" s="31">
        <v>395.6312250228269</v>
      </c>
      <c r="E6" s="31">
        <v>410.6329112559838</v>
      </c>
      <c r="F6" s="31">
        <v>429.0971316395418</v>
      </c>
    </row>
    <row r="7" spans="1:6" x14ac:dyDescent="0.25">
      <c r="A7" s="30">
        <v>0.093856</v>
      </c>
      <c r="B7" s="31">
        <v>319.5940637703347</v>
      </c>
      <c r="C7" s="31">
        <v>325.5760804337852</v>
      </c>
      <c r="D7" s="32">
        <v>332.6899184862663</v>
      </c>
      <c r="E7" s="31">
        <v>341.2014467707291</v>
      </c>
      <c r="F7" s="31">
        <v>351.4668796659915</v>
      </c>
    </row>
    <row r="8" spans="1:6" x14ac:dyDescent="0.25">
      <c r="A8" s="30">
        <v>0.103856</v>
      </c>
      <c r="B8" s="31">
        <v>278.4324232927323</v>
      </c>
      <c r="C8" s="31">
        <v>281.8332089393191</v>
      </c>
      <c r="D8" s="31">
        <v>285.88270343620025</v>
      </c>
      <c r="E8" s="31">
        <v>290.712658201736</v>
      </c>
      <c r="F8" s="31">
        <v>296.49309333627815</v>
      </c>
    </row>
    <row r="9" spans="1:6" x14ac:dyDescent="0.25">
      <c r="A9" s="30">
        <v>0.113856</v>
      </c>
      <c r="B9" s="31">
        <v>245.78367559347387</v>
      </c>
      <c r="C9" s="31">
        <v>247.5753791071227</v>
      </c>
      <c r="D9" s="31">
        <v>249.75155611489495</v>
      </c>
      <c r="E9" s="31">
        <v>252.38098049596255</v>
      </c>
      <c r="F9" s="31">
        <v>255.5498690328079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3165286000</v>
      </c>
      <c r="C5" s="18">
        <v>2958387000</v>
      </c>
      <c r="D5" s="18">
        <v>2956416000</v>
      </c>
      <c r="E5" s="18">
        <v>2971956000</v>
      </c>
      <c r="F5" s="6" t="s">
        <v>91</v>
      </c>
    </row>
    <row r="6" spans="1:6" x14ac:dyDescent="0.25">
      <c r="A6" t="s">
        <v>51</v>
      </c>
      <c r="B6" s="18">
        <v>802588000</v>
      </c>
      <c r="C6" s="18">
        <v>837921000</v>
      </c>
      <c r="D6" s="18">
        <v>817676000</v>
      </c>
      <c r="E6" s="18">
        <v>883192000</v>
      </c>
      <c r="F6" s="6" t="s">
        <v>92</v>
      </c>
    </row>
    <row r="7" spans="1:6" x14ac:dyDescent="0.25">
      <c r="A7" t="s">
        <v>93</v>
      </c>
      <c r="B7" s="18">
        <v>206237000</v>
      </c>
      <c r="C7" s="18">
        <v>191825000</v>
      </c>
      <c r="D7" s="18">
        <v>165905000</v>
      </c>
      <c r="E7" s="18">
        <v>130423000</v>
      </c>
      <c r="F7" s="6" t="s">
        <v>94</v>
      </c>
    </row>
    <row r="8" spans="1:6" x14ac:dyDescent="0.25">
      <c r="A8" t="s">
        <v>95</v>
      </c>
      <c r="B8" s="18">
        <v>112745000</v>
      </c>
      <c r="C8" s="18">
        <v>142481000</v>
      </c>
      <c r="D8" s="18">
        <v>160632000</v>
      </c>
      <c r="E8" s="18">
        <v>183456000</v>
      </c>
      <c r="F8" s="6" t="s">
        <v>96</v>
      </c>
    </row>
    <row r="9" spans="1:6" x14ac:dyDescent="0.25">
      <c r="A9" t="s">
        <v>97</v>
      </c>
      <c r="B9" s="18">
        <v>233383000</v>
      </c>
      <c r="C9" s="18">
        <v>111368000</v>
      </c>
      <c r="D9" s="18">
        <v>240259000</v>
      </c>
      <c r="E9" s="18">
        <v>247096000</v>
      </c>
      <c r="F9" s="6" t="s">
        <v>98</v>
      </c>
    </row>
    <row r="10" spans="1:6" x14ac:dyDescent="0.25">
      <c r="A10" t="s">
        <v>99</v>
      </c>
      <c r="B10" s="18">
        <v>1491084000</v>
      </c>
      <c r="C10" s="18">
        <v>1702342000</v>
      </c>
      <c r="D10" s="18">
        <v>2442264000</v>
      </c>
      <c r="E10" s="18">
        <v>1663415000</v>
      </c>
      <c r="F10" s="6" t="s">
        <v>100</v>
      </c>
    </row>
    <row r="11" spans="1:6" x14ac:dyDescent="0.25">
      <c r="A11" t="s">
        <v>101</v>
      </c>
      <c r="B11" s="18">
        <v>587831000</v>
      </c>
      <c r="C11" s="18">
        <v>325355000</v>
      </c>
      <c r="D11" s="18">
        <v>395974000</v>
      </c>
      <c r="E11" s="18">
        <v>481391000</v>
      </c>
      <c r="F11" s="6" t="s">
        <v>102</v>
      </c>
    </row>
    <row r="12" spans="1:6" x14ac:dyDescent="0.25">
      <c r="A12" t="s">
        <v>34</v>
      </c>
      <c r="B12" s="34">
        <v>59706000</v>
      </c>
      <c r="C12" s="34">
        <v>59552000</v>
      </c>
      <c r="D12" s="34">
        <v>59270000</v>
      </c>
      <c r="E12" s="34">
        <v>60331000</v>
      </c>
      <c r="F12" s="6" t="s">
        <v>103</v>
      </c>
    </row>
    <row r="15" spans="1:1" x14ac:dyDescent="0.25">
      <c r="A15" s="19" t="s">
        <v>104</v>
      </c>
    </row>
    <row r="16" ht="38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