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<sst xmlns="http://schemas.openxmlformats.org/spreadsheetml/2006/main" count="112" uniqueCount="100">
  <si>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Waters Corporation (WAT)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</si>
  <si>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</si>
  <si>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</si>
  <si>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</si>
  <si>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</si>
  <si>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</si>
  <si>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</si>
  <si>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</si>
  <si>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</si>
  <si>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</si>
  <si>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</si>
  <si>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</si>
  <si>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</si>
  <si>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</si>
  <si>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</si>
  <si>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</si>
  <si>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</si>
  <si>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</si>
  <si>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</si>
  <si>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</si>
  <si>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</si>
  <si>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</si>
  <si>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</si>
  <si>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</si>
  <si>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</si>
  <si>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</si>
  <si>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</si>
  <si>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</si>
  <si>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</si>
  <si>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</si>
  <si>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</si>
  <si>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</si>
  <si>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</si>
  <si>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</si>
  <si>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</si>
  <si>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</si>
  <si>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</si>
  <si>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</si>
  <si>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</si>
  <si>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</si>
  <si>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</si>
  <si>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</si>
  <si>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</si>
  <si>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</si>
  <si>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</si>
  <si>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</si>
  <si>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</si>
  <si>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</si>
  <si>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</si>
  <si>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</si>
  <si>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</si>
  <si>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</si>
  <si>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</si>
  <si>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</si>
  <si>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</si>
  <si>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</si>
  <si>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</si>
  <si>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</si>
  <si>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</si>
  <si>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</si>
  <si>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</si>
  <si>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</si>
  <si>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</si>
  <si>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</si>
  <si>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</si>
  <si>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</si>
  <si>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</si>
  <si>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</si>
  <si>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</si>
  <si>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</si>
  <si>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</si>
  <si>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</si>
  <si>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</si>
  <si>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</si>
  <si>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</si>
  <si>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</si>
  <si>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</si>
  <si>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</si>
  <si>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</si>
  <si>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</si>
  <si>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</si>
  <si>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</si>
  <si>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</si>
  <si>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</si>
  <si>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</si>
  <si>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</si>
  <si>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</si>
  <si>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</si>
  <si>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</si>
  <si>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</si>
  <si>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</si>
  <si>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</si>
  <si>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</si>
  <si>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</si>
  <si>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</si>
  <si>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</si>
  <si>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</si>
  <si>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</si>
  <si>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41.9x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</si>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</sst>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0.021229912681812513</v>
      </c>
    </row>
    <row r="7" spans="1:2" x14ac:dyDescent="0.25">
      <c r="A7" t="s">
        <v>5</v>
      </c>
      <c r="B7" s="6">
        <v>0.27763681490390507</v>
      </c>
    </row>
    <row r="8" spans="1:2" x14ac:dyDescent="0.25">
      <c r="A8" t="s">
        <v>6</v>
      </c>
      <c r="B8" s="6">
        <v>0.15186861346486907</v>
      </c>
    </row>
    <row r="9" spans="1:2" x14ac:dyDescent="0.25">
      <c r="A9" t="s">
        <v>7</v>
      </c>
      <c r="B9" s="6">
        <v>0.05749961465818209</v>
      </c>
    </row>
    <row r="10" spans="1:2" x14ac:dyDescent="0.25">
      <c r="A10" t="s">
        <v>8</v>
      </c>
      <c r="B10" s="6">
        <v>0.04996083252974079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0.2017518558912158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1.12998</v>
      </c>
      <c r="C19" s="8" t="s">
        <v>19</v>
      </c>
    </row>
    <row r="20" spans="1:2" x14ac:dyDescent="0.25">
      <c r="A20" t="s">
        <v>20</v>
      </c>
      <c r="B20" s="10">
        <f>B17+B19*B18</f>
        <v>0.1121289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41398104064</v>
      </c>
    </row>
    <row r="23" spans="1:2" x14ac:dyDescent="0.25">
      <c r="A23" t="s">
        <v>24</v>
      </c>
      <c r="B23" s="11">
        <v>1491084000</v>
      </c>
    </row>
    <row r="24" spans="1:2" x14ac:dyDescent="0.25">
      <c r="A24" t="s">
        <v>25</v>
      </c>
      <c r="B24" s="10">
        <f>B22/(B22+B23)</f>
        <v>0.9652340352590733</v>
      </c>
    </row>
    <row r="25" spans="1:2" x14ac:dyDescent="0.25">
      <c r="A25" t="s">
        <v>26</v>
      </c>
      <c r="B25" s="10">
        <f>1-B24</f>
        <v>0.03476596474092675</v>
      </c>
    </row>
    <row r="26" spans="1:2" x14ac:dyDescent="0.25">
      <c r="A26" t="s">
        <v>27</v>
      </c>
      <c r="B26" s="12">
        <f>B24*B20+B25*B21*(1-B8)</f>
        <v>0.10970434618804119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3165286000</v>
      </c>
      <c r="C29" s="8" t="s">
        <v>30</v>
      </c>
    </row>
    <row r="30" spans="1:2" x14ac:dyDescent="0.25">
      <c r="A30" t="s">
        <v>31</v>
      </c>
      <c r="B30" s="11">
        <v>903253000</v>
      </c>
    </row>
    <row r="31" spans="1:2" x14ac:dyDescent="0.25">
      <c r="A31" t="s">
        <v>32</v>
      </c>
      <c r="B31" s="13">
        <v>59706000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0.021229912681812513</v>
      </c>
      <c r="C5" s="10">
        <f>Assumptions!B6</f>
        <v>0.021229912681812513</v>
      </c>
      <c r="D5" s="10">
        <f>Assumptions!B6</f>
        <v>0.021229912681812513</v>
      </c>
      <c r="E5" s="10">
        <f>Assumptions!B6</f>
        <v>0.021229912681812513</v>
      </c>
      <c r="F5" s="10">
        <f>Assumptions!B6</f>
        <v>0.021229912681812513</v>
      </c>
    </row>
    <row r="6" spans="1:6" x14ac:dyDescent="0.25">
      <c r="A6" t="s">
        <v>43</v>
      </c>
      <c r="B6" s="18">
        <f>Assumptions!B29*(1+B5)</f>
        <v>3232484745.3929634</v>
      </c>
      <c r="C6" s="18">
        <f>B6*(1+C5)</f>
        <v>3301110114.282947</v>
      </c>
      <c r="D6" s="18">
        <f>C6*(1+D5)</f>
        <v>3371192393.7622223</v>
      </c>
      <c r="E6" s="18">
        <f>D6*(1+E5)</f>
        <v>3442762513.915385</v>
      </c>
      <c r="F6" s="18">
        <f>E6*(1+F5)</f>
        <v>3515852061.4700255</v>
      </c>
    </row>
    <row r="7" spans="1:6" x14ac:dyDescent="0.25">
      <c r="A7" t="s">
        <v>5</v>
      </c>
      <c r="B7" s="10">
        <f>Assumptions!B7</f>
        <v>0.27763681490390507</v>
      </c>
      <c r="C7" s="10">
        <f>Assumptions!B7</f>
        <v>0.27763681490390507</v>
      </c>
      <c r="D7" s="10">
        <f>Assumptions!B7</f>
        <v>0.27763681490390507</v>
      </c>
      <c r="E7" s="10">
        <f>Assumptions!B7</f>
        <v>0.27763681490390507</v>
      </c>
      <c r="F7" s="10">
        <f>Assumptions!B7</f>
        <v>0.27763681490390507</v>
      </c>
    </row>
    <row r="8" spans="1:6" x14ac:dyDescent="0.25">
      <c r="A8" t="s">
        <v>44</v>
      </c>
      <c r="B8" s="18">
        <f>B6*B7</f>
        <v>897456768.9363629</v>
      </c>
      <c r="C8" s="18">
        <f>C6*C7</f>
        <v>916509697.7765834</v>
      </c>
      <c r="D8" s="18">
        <f>D6*D7</f>
        <v>935967118.6324148</v>
      </c>
      <c r="E8" s="18">
        <f>E6*E7</f>
        <v>955837618.8340286</v>
      </c>
      <c r="F8" s="18">
        <f>F6*F7</f>
        <v>976129968.0198666</v>
      </c>
    </row>
    <row r="9" spans="1:6" x14ac:dyDescent="0.25">
      <c r="A9" t="s">
        <v>45</v>
      </c>
      <c r="B9" s="18">
        <f>B8*(1-Assumptions!B8)</f>
        <v>761161253.7933362</v>
      </c>
      <c r="C9" s="18">
        <f>C8*(1-Assumptions!B8)</f>
        <v>777320640.7481476</v>
      </c>
      <c r="D9" s="18">
        <f>D8*(1-Assumptions!B8)</f>
        <v>793823090.0770015</v>
      </c>
      <c r="E9" s="18">
        <f>E8*(1-Assumptions!B8)</f>
        <v>810675884.9641427</v>
      </c>
      <c r="F9" s="18">
        <f>F8*(1-Assumptions!B8)</f>
        <v>827886463.2151825</v>
      </c>
    </row>
    <row r="10" spans="1:6" x14ac:dyDescent="0.25">
      <c r="A10" t="s">
        <v>46</v>
      </c>
      <c r="B10" s="18">
        <f>B6*Assumptions!B9</f>
        <v>185866627.24854723</v>
      </c>
      <c r="C10" s="18">
        <f>C6*Assumptions!B9</f>
        <v>189812559.5154969</v>
      </c>
      <c r="D10" s="18">
        <f>D6*Assumptions!B9</f>
        <v>193842263.57992223</v>
      </c>
      <c r="E10" s="18">
        <f>E6*Assumptions!B9</f>
        <v>197957517.90976888</v>
      </c>
      <c r="F10" s="18">
        <f>F6*Assumptions!B9</f>
        <v>202160138.7297016</v>
      </c>
    </row>
    <row r="11" spans="1:6" x14ac:dyDescent="0.25">
      <c r="A11" t="s">
        <v>47</v>
      </c>
      <c r="B11" s="18">
        <f>-B6*Assumptions!B10</f>
        <v>-161497629.01951963</v>
      </c>
      <c r="C11" s="18">
        <f>-C6*Assumptions!B10</f>
        <v>-164926209.58192378</v>
      </c>
      <c r="D11" s="18">
        <f>-D6*Assumptions!B10</f>
        <v>-168427578.61029035</v>
      </c>
      <c r="E11" s="18">
        <f>-E6*Assumptions!B10</f>
        <v>-172003281.39739594</v>
      </c>
      <c r="F11" s="18">
        <f>-F6*Assumptions!B10</f>
        <v>-175654896.04244787</v>
      </c>
    </row>
    <row r="12" spans="1:6" x14ac:dyDescent="0.25">
      <c r="A12" t="s">
        <v>48</v>
      </c>
      <c r="B12" s="18">
        <f>-(B6-Assumptions!B29)*Assumptions!B11</f>
        <v>-67198745.39296341</v>
      </c>
      <c r="C12" s="18">
        <f>-(C6-B6)*Assumptions!B11</f>
        <v>-68625368.88998365</v>
      </c>
      <c r="D12" s="18">
        <f>-(D6-C6)*Assumptions!B11</f>
        <v>-70082279.47927523</v>
      </c>
      <c r="E12" s="18">
        <f>-(E6-D6)*Assumptions!B11</f>
        <v>-71570120.15316248</v>
      </c>
      <c r="F12" s="18">
        <f>-(F6-E6)*Assumptions!B11</f>
        <v>-73089547.55464077</v>
      </c>
    </row>
    <row r="13" spans="1:6" x14ac:dyDescent="0.25">
      <c r="A13" s="19" t="s">
        <v>49</v>
      </c>
      <c r="B13" s="20">
        <f>B9+B10+B11+B12</f>
        <v>718331506.6294003</v>
      </c>
      <c r="C13" s="20">
        <f>C9+C10+C11+C12</f>
        <v>733581621.7917371</v>
      </c>
      <c r="D13" s="20">
        <f>D9+D10+D11+D12</f>
        <v>749155495.567358</v>
      </c>
      <c r="E13" s="20">
        <f>E9+E10+E11+E12</f>
        <v>765060001.3233532</v>
      </c>
      <c r="F13" s="20">
        <f>F9+F10+F11+F12</f>
        <v>781302158.3477955</v>
      </c>
    </row>
    <row r="14" spans="1:6" x14ac:dyDescent="0.25">
      <c r="A14" t="s">
        <v>50</v>
      </c>
      <c r="B14" s="21">
        <f>1/(1+Assumptions!$B$26)^(1-0.5*Assumptions!$B$32)</f>
        <v>0.94928442739702</v>
      </c>
      <c r="C14" s="21">
        <f>1/(1+Assumptions!$B$26)^(2-0.5*Assumptions!$B$32)</f>
        <v>0.8554390461368547</v>
      </c>
      <c r="D14" s="21">
        <f>1/(1+Assumptions!$B$26)^(3-0.5*Assumptions!$B$32)</f>
        <v>0.7708711325456945</v>
      </c>
      <c r="E14" s="21">
        <f>1/(1+Assumptions!$B$26)^(4-0.5*Assumptions!$B$32)</f>
        <v>0.6946635247430752</v>
      </c>
      <c r="F14" s="21">
        <f>1/(1+Assumptions!$B$26)^(5-0.5*Assumptions!$B$32)</f>
        <v>0.6259897306244879</v>
      </c>
    </row>
    <row r="15" spans="1:6" x14ac:dyDescent="0.25">
      <c r="A15" s="19" t="s">
        <v>51</v>
      </c>
      <c r="B15" s="20">
        <f>B13*B14</f>
        <v>681900912.9519289</v>
      </c>
      <c r="C15" s="20">
        <f>C13*C14</f>
        <v>627534362.8090504</v>
      </c>
      <c r="D15" s="20">
        <f>D13*D14</f>
        <v>577502345.3208402</v>
      </c>
      <c r="E15" s="20">
        <f>E13*E14</f>
        <v>531459277.1592223</v>
      </c>
      <c r="F15" s="20">
        <f>F13*F14</f>
        <v>489087127.6404675</v>
      </c>
    </row>
    <row r="17" spans="1:2" x14ac:dyDescent="0.25">
      <c r="A17" s="22" t="s">
        <v>52</v>
      </c>
      <c r="B17" s="23">
        <f>SUM(B15:F15)</f>
        <v>2907484025.8815093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781302158.3477955</v>
      </c>
    </row>
    <row r="5" spans="1:2" x14ac:dyDescent="0.25">
      <c r="A5" t="s">
        <v>56</v>
      </c>
      <c r="B5" s="18">
        <f>IF(Assumptions!$B$33=0,B4,B4-Forecast!F11-Forecast!F10-Forecast!F12)</f>
        <v>917259647.2327689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0.12391459741257572</v>
      </c>
    </row>
    <row r="7" spans="1:2" x14ac:dyDescent="0.25">
      <c r="A7" t="s">
        <v>58</v>
      </c>
      <c r="B7" s="18">
        <f>-MAX(Forecast!F9,0)*B6</f>
        <v>-113661859.90964979</v>
      </c>
    </row>
    <row r="8" spans="1:2" x14ac:dyDescent="0.25">
      <c r="A8" t="s">
        <v>59</v>
      </c>
      <c r="B8" s="18">
        <f>IF(OR(Assumptions!$B$33=0,Assumptions!B12&lt;=0),B5,MAX(B5+B7,0))</f>
        <v>803597787.3231192</v>
      </c>
    </row>
    <row r="9" spans="1:2" x14ac:dyDescent="0.25">
      <c r="A9" t="s">
        <v>60</v>
      </c>
      <c r="B9" s="18">
        <f>B8*(1+Assumptions!B12)/(Assumptions!B26-Assumptions!B12)</f>
        <v>9724267632.94571</v>
      </c>
    </row>
    <row r="10" spans="1:2" x14ac:dyDescent="0.25">
      <c r="A10" t="s">
        <v>61</v>
      </c>
      <c r="B10" s="18">
        <f>B9/(1+Assumptions!B26)^(5-0.5*Assumptions!B32)</f>
        <v>6087291676.068111</v>
      </c>
    </row>
    <row r="11" spans="1:2" x14ac:dyDescent="0.25">
      <c r="A11" t="s">
        <v>62</v>
      </c>
      <c r="B11" s="18">
        <f>Forecast!B17+B10</f>
        <v>8994775701.949621</v>
      </c>
    </row>
    <row r="12" spans="1:2" x14ac:dyDescent="0.25">
      <c r="A12" t="s">
        <v>63</v>
      </c>
      <c r="B12" s="18">
        <f>-Assumptions!B30</f>
        <v>-903253000</v>
      </c>
    </row>
    <row r="13" spans="1:2" x14ac:dyDescent="0.25">
      <c r="A13" t="s">
        <v>64</v>
      </c>
      <c r="B13" s="18">
        <f>B11+B12</f>
        <v>8091522701.949621</v>
      </c>
    </row>
    <row r="14" spans="1:2" x14ac:dyDescent="0.25">
      <c r="A14" s="19" t="s">
        <v>65</v>
      </c>
      <c r="B14" s="24">
        <f>B13/Assumptions!B31</f>
        <v>135.5227732882729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1178290106.7495682</v>
      </c>
    </row>
    <row r="18" spans="1:2" x14ac:dyDescent="0.25">
      <c r="A18" t="s">
        <v>60</v>
      </c>
      <c r="B18" s="18">
        <f>B17*Assumptions!B13</f>
        <v>23565802134.991364</v>
      </c>
    </row>
    <row r="19" spans="1:2" x14ac:dyDescent="0.25">
      <c r="A19" t="s">
        <v>61</v>
      </c>
      <c r="B19" s="18">
        <f>B18/(1+Assumptions!B26)^(5-0.5*Assumptions!B32)</f>
        <v>14751950130.433226</v>
      </c>
    </row>
    <row r="20" spans="1:2" x14ac:dyDescent="0.25">
      <c r="A20" t="s">
        <v>62</v>
      </c>
      <c r="B20" s="18">
        <f>Forecast!B17+B19</f>
        <v>17659434156.314735</v>
      </c>
    </row>
    <row r="21" spans="1:2" x14ac:dyDescent="0.25">
      <c r="A21" t="s">
        <v>63</v>
      </c>
      <c r="B21" s="18">
        <f>-Assumptions!B30</f>
        <v>-903253000</v>
      </c>
    </row>
    <row r="22" spans="1:2" x14ac:dyDescent="0.25">
      <c r="A22" t="s">
        <v>64</v>
      </c>
      <c r="B22" s="18">
        <f>B20+B21</f>
        <v>16756181156.314735</v>
      </c>
    </row>
    <row r="23" spans="1:2" x14ac:dyDescent="0.25">
      <c r="A23" s="19" t="s">
        <v>65</v>
      </c>
      <c r="B23" s="25">
        <f>B22/Assumptions!B31</f>
        <v>280.6448456824228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421.63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135.5227732882729</v>
      </c>
    </row>
    <row r="29" spans="1:2" x14ac:dyDescent="0.25">
      <c r="A29" s="19" t="s">
        <v>73</v>
      </c>
      <c r="B29" s="12">
        <f>B28/B26-1</f>
        <v>-0.6785741686116431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0.089704</v>
      </c>
      <c r="B5" s="31">
        <v>166.96393695616598</v>
      </c>
      <c r="C5" s="31">
        <v>173.28785452528777</v>
      </c>
      <c r="D5" s="31">
        <v>180.54915651858957</v>
      </c>
      <c r="E5" s="31">
        <v>188.98335088131302</v>
      </c>
      <c r="F5" s="31">
        <v>198.91204820027664</v>
      </c>
    </row>
    <row r="6" spans="1:6" x14ac:dyDescent="0.25">
      <c r="A6" s="30">
        <v>0.099704</v>
      </c>
      <c r="B6" s="31">
        <v>145.7196947239343</v>
      </c>
      <c r="C6" s="31">
        <v>150.09443752245775</v>
      </c>
      <c r="D6" s="31">
        <v>155.02155969249392</v>
      </c>
      <c r="E6" s="31">
        <v>160.61993089105954</v>
      </c>
      <c r="F6" s="31">
        <v>167.0451633743976</v>
      </c>
    </row>
    <row r="7" spans="1:6" x14ac:dyDescent="0.25">
      <c r="A7" s="30">
        <v>0.109704</v>
      </c>
      <c r="B7" s="31">
        <v>128.9769079636026</v>
      </c>
      <c r="C7" s="31">
        <v>132.08097682541296</v>
      </c>
      <c r="D7" s="32">
        <v>135.52336856992002</v>
      </c>
      <c r="E7" s="31">
        <v>139.36775432078704</v>
      </c>
      <c r="F7" s="31">
        <v>143.69485144382298</v>
      </c>
    </row>
    <row r="8" spans="1:6" x14ac:dyDescent="0.25">
      <c r="A8" s="30">
        <v>0.119704</v>
      </c>
      <c r="B8" s="31">
        <v>115.44494630602665</v>
      </c>
      <c r="C8" s="31">
        <v>117.68830665706349</v>
      </c>
      <c r="D8" s="31">
        <v>120.14437731390328</v>
      </c>
      <c r="E8" s="31">
        <v>122.84872697567921</v>
      </c>
      <c r="F8" s="31">
        <v>125.84532269322764</v>
      </c>
    </row>
    <row r="9" spans="1:6" x14ac:dyDescent="0.25">
      <c r="A9" s="30">
        <v>0.129704</v>
      </c>
      <c r="B9" s="31">
        <v>104.28330492980925</v>
      </c>
      <c r="C9" s="31">
        <v>105.92579521905196</v>
      </c>
      <c r="D9" s="31">
        <v>107.70415038727677</v>
      </c>
      <c r="E9" s="31">
        <v>109.63881066942638</v>
      </c>
      <c r="F9" s="31">
        <v>111.75453295759483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3165286000</v>
      </c>
      <c r="C5" s="18">
        <v>2958387000</v>
      </c>
      <c r="D5" s="18">
        <v>2956416000</v>
      </c>
      <c r="E5" s="18">
        <v>2971956000</v>
      </c>
      <c r="F5" s="8" t="s">
        <v>84</v>
      </c>
    </row>
    <row r="6" spans="1:6" x14ac:dyDescent="0.25">
      <c r="A6" t="s">
        <v>44</v>
      </c>
      <c r="B6" s="18">
        <v>802588000</v>
      </c>
      <c r="C6" s="18">
        <v>837921000</v>
      </c>
      <c r="D6" s="18">
        <v>817676000</v>
      </c>
      <c r="E6" s="18">
        <v>883192000</v>
      </c>
      <c r="F6" s="8" t="s">
        <v>85</v>
      </c>
    </row>
    <row r="7" spans="1:6" x14ac:dyDescent="0.25">
      <c r="A7" t="s">
        <v>86</v>
      </c>
      <c r="B7" s="18">
        <v>206237000</v>
      </c>
      <c r="C7" s="18">
        <v>191825000</v>
      </c>
      <c r="D7" s="18">
        <v>165905000</v>
      </c>
      <c r="E7" s="18">
        <v>130423000</v>
      </c>
      <c r="F7" s="8" t="s">
        <v>87</v>
      </c>
    </row>
    <row r="8" spans="1:6" x14ac:dyDescent="0.25">
      <c r="A8" t="s">
        <v>88</v>
      </c>
      <c r="B8" s="18">
        <v>112745000</v>
      </c>
      <c r="C8" s="18">
        <v>142481000</v>
      </c>
      <c r="D8" s="18">
        <v>160632000</v>
      </c>
      <c r="E8" s="18">
        <v>183456000</v>
      </c>
      <c r="F8" s="8" t="s">
        <v>89</v>
      </c>
    </row>
    <row r="9" spans="1:6" x14ac:dyDescent="0.25">
      <c r="A9" t="s">
        <v>90</v>
      </c>
      <c r="B9" s="18">
        <v>233383000</v>
      </c>
      <c r="C9" s="18">
        <v>111368000</v>
      </c>
      <c r="D9" s="18">
        <v>240259000</v>
      </c>
      <c r="E9" s="18">
        <v>247096000</v>
      </c>
      <c r="F9" s="8" t="s">
        <v>91</v>
      </c>
    </row>
    <row r="10" spans="1:6" x14ac:dyDescent="0.25">
      <c r="A10" t="s">
        <v>92</v>
      </c>
      <c r="B10" s="18">
        <v>1491084000</v>
      </c>
      <c r="C10" s="18">
        <v>1702342000</v>
      </c>
      <c r="D10" s="18">
        <v>2442264000</v>
      </c>
      <c r="E10" s="18">
        <v>1663415000</v>
      </c>
      <c r="F10" s="8" t="s">
        <v>93</v>
      </c>
    </row>
    <row r="11" spans="1:6" x14ac:dyDescent="0.25">
      <c r="A11" t="s">
        <v>94</v>
      </c>
      <c r="B11" s="18">
        <v>587831000</v>
      </c>
      <c r="C11" s="18">
        <v>325355000</v>
      </c>
      <c r="D11" s="18">
        <v>395974000</v>
      </c>
      <c r="E11" s="18">
        <v>481391000</v>
      </c>
      <c r="F11" s="8" t="s">
        <v>95</v>
      </c>
    </row>
    <row r="12" spans="1:6" x14ac:dyDescent="0.25">
      <c r="A12" t="s">
        <v>32</v>
      </c>
      <c r="B12" s="34">
        <v>59706000</v>
      </c>
      <c r="C12" s="34">
        <v>59552000</v>
      </c>
      <c r="D12" s="34">
        <v>59270000</v>
      </c>
      <c r="E12" s="34">
        <v>60331000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2026-09-19T00:06:43Z</dcterms:modified>
</cp:coreProperties>
</file>