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<sst xmlns="http://schemas.openxmlformats.org/spreadsheetml/2006/main" count="113" uniqueCount="101">
  <si>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Westpac Banking Corporation (WBC.AX)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</si>
  <si>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</si>
  <si>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</si>
  <si>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</si>
  <si>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</si>
  <si>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</si>
  <si>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</si>
  <si>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</si>
  <si>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</si>
  <si>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</si>
  <si>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</si>
  <si>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</si>
  <si>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</si>
  <si>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</si>
  <si>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</si>
  <si>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</si>
  <si>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</si>
  <si>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</si>
  <si>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</si>
  <si>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</si>
  <si>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</si>
  <si>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</si>
  <si>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17.9%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</si>
  <si>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</si>
  <si>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</si>
  <si>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</si>
  <si>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</si>
  <si>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</si>
  <si>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</si>
  <si>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</si>
  <si>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2024-09-30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</si>
  <si>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</si>
  <si>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</si>
  <si>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</si>
  <si>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</si>
  <si>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</si>
  <si>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</si>
  <si>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</si>
  <si>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</si>
  <si>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</si>
  <si>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</si>
  <si>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</si>
  <si>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</si>
  <si>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</si>
  <si>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</si>
  <si>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</si>
  <si>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</si>
  <si>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</si>
  <si>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</si>
  <si>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</si>
  <si>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</si>
  <si>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</si>
  <si>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</si>
  <si>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</si>
  <si>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</si>
  <si>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</si>
  <si>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</si>
  <si>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</si>
  <si>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</si>
  <si>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</si>
  <si>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</si>
  <si>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</si>
  <si>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</si>
  <si>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</si>
  <si>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</si>
  <si>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</si>
  <si>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</si>
  <si>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</si>
  <si>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</si>
  <si>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</si>
  <si>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</si>
  <si>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</si>
  <si>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</si>
  <si>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</si>
  <si>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</si>
  <si>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</si>
  <si>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</si>
  <si>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</si>
  <si>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</si>
  <si>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2024-09-30</t>
  </si>
  <si>
    <t>2023-09-30</t>
  </si>
  <si>
    <t>2022-09-30</t>
  </si>
  <si>
    <t>2021-09-30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</si>
  <si>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</si>
  <si>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</si>
  <si>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</si>
  <si>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</si>
  <si>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</si>
  <si>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</si>
  <si>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</si>
  <si>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</si>
  <si>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</si>
  <si>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</si>
  <si>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</si>
  <si>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</si>
  <si>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</si>
  <si>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</si>
  <si>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</si>
  <si>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</si>
  <si>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Current EV/EBITDA of 22.3x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</si>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</sst>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0.00891178096292311</v>
      </c>
    </row>
    <row r="7" spans="1:2" x14ac:dyDescent="0.25">
      <c r="A7" t="s">
        <v>5</v>
      </c>
      <c r="B7" s="6">
        <v>0.44232596146329917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0.08776544908776401</v>
      </c>
    </row>
    <row r="10" spans="1:2" x14ac:dyDescent="0.25">
      <c r="A10" t="s">
        <v>8</v>
      </c>
      <c r="B10" s="6">
        <v>0.05497198801587466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0.06997674254411224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0.81441</v>
      </c>
      <c r="C19" s="8" t="s">
        <v>19</v>
      </c>
    </row>
    <row r="20" spans="1:2" x14ac:dyDescent="0.25">
      <c r="A20" t="s">
        <v>20</v>
      </c>
      <c r="B20" s="10">
        <f>B17+B19*B18</f>
        <v>0.1023446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118668034048</v>
      </c>
    </row>
    <row r="23" spans="1:2" x14ac:dyDescent="0.25">
      <c r="A23" t="s">
        <v>24</v>
      </c>
      <c r="B23" s="11">
        <v>207167000000</v>
      </c>
    </row>
    <row r="24" spans="1:2" x14ac:dyDescent="0.25">
      <c r="A24" t="s">
        <v>25</v>
      </c>
      <c r="B24" s="10">
        <f>B22/(B22+B23)</f>
        <v>0.36419666901294157</v>
      </c>
    </row>
    <row r="25" spans="1:2" x14ac:dyDescent="0.25">
      <c r="A25" t="s">
        <v>26</v>
      </c>
      <c r="B25" s="10">
        <f>1-B24</f>
        <v>0.6358033309870584</v>
      </c>
    </row>
    <row r="26" spans="1:2" x14ac:dyDescent="0.25">
      <c r="A26" t="s">
        <v>27</v>
      </c>
      <c r="B26" s="12">
        <f>B24*B20+B25*B21*(1-B8)</f>
        <v>0.06997674254411224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21587000000</v>
      </c>
      <c r="C29" s="8" t="s">
        <v>30</v>
      </c>
    </row>
    <row r="30" spans="1:2" x14ac:dyDescent="0.25">
      <c r="A30" t="s">
        <v>31</v>
      </c>
      <c r="B30" s="11">
        <v>140898000000</v>
      </c>
    </row>
    <row r="31" spans="1:2" x14ac:dyDescent="0.25">
      <c r="A31" t="s">
        <v>32</v>
      </c>
      <c r="B31" s="13">
        <v>3895000000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0.00891178096292311</v>
      </c>
      <c r="C5" s="10">
        <f>Assumptions!B6</f>
        <v>0.00891178096292311</v>
      </c>
      <c r="D5" s="10">
        <f>Assumptions!B6</f>
        <v>0.00891178096292311</v>
      </c>
      <c r="E5" s="10">
        <f>Assumptions!B6</f>
        <v>0.00891178096292311</v>
      </c>
      <c r="F5" s="10">
        <f>Assumptions!B6</f>
        <v>0.00891178096292311</v>
      </c>
    </row>
    <row r="6" spans="1:6" x14ac:dyDescent="0.25">
      <c r="A6" t="s">
        <v>43</v>
      </c>
      <c r="B6" s="18">
        <f>Assumptions!B29*(1+B5)</f>
        <v>21779378615.64662</v>
      </c>
      <c r="C6" s="18">
        <f>B6*(1+C5)</f>
        <v>21973471667.377834</v>
      </c>
      <c r="D6" s="18">
        <f>C6*(1+D5)</f>
        <v>22169294433.8725</v>
      </c>
      <c r="E6" s="18">
        <f>D6*(1+E5)</f>
        <v>22366862329.969723</v>
      </c>
      <c r="F6" s="18">
        <f>E6*(1+F5)</f>
        <v>22566190907.88227</v>
      </c>
    </row>
    <row r="7" spans="1:6" x14ac:dyDescent="0.25">
      <c r="A7" t="s">
        <v>5</v>
      </c>
      <c r="B7" s="10">
        <f>Assumptions!B7</f>
        <v>0.44232596146329917</v>
      </c>
      <c r="C7" s="10">
        <f>Assumptions!B7</f>
        <v>0.44232596146329917</v>
      </c>
      <c r="D7" s="10">
        <f>Assumptions!B7</f>
        <v>0.44232596146329917</v>
      </c>
      <c r="E7" s="10">
        <f>Assumptions!B7</f>
        <v>0.44232596146329917</v>
      </c>
      <c r="F7" s="10">
        <f>Assumptions!B7</f>
        <v>0.44232596146329917</v>
      </c>
    </row>
    <row r="8" spans="1:6" x14ac:dyDescent="0.25">
      <c r="A8" t="s">
        <v>44</v>
      </c>
      <c r="B8" s="18">
        <f>B6*B7</f>
        <v>9633584586.239109</v>
      </c>
      <c r="C8" s="18">
        <f>C6*C7</f>
        <v>9719436981.959463</v>
      </c>
      <c r="D8" s="18">
        <f>D6*D7</f>
        <v>9806054475.425621</v>
      </c>
      <c r="E8" s="18">
        <f>E6*E7</f>
        <v>9893443885.021105</v>
      </c>
      <c r="F8" s="18">
        <f>F6*F7</f>
        <v>9981612089.893385</v>
      </c>
    </row>
    <row r="9" spans="1:6" x14ac:dyDescent="0.25">
      <c r="A9" t="s">
        <v>45</v>
      </c>
      <c r="B9" s="18">
        <f>B8*(1-Assumptions!B8)</f>
        <v>6743509210.367376</v>
      </c>
      <c r="C9" s="18">
        <f>C8*(1-Assumptions!B8)</f>
        <v>6803605887.371624</v>
      </c>
      <c r="D9" s="18">
        <f>D8*(1-Assumptions!B8)</f>
        <v>6864238132.797935</v>
      </c>
      <c r="E9" s="18">
        <f>E8*(1-Assumptions!B8)</f>
        <v>6925410719.514773</v>
      </c>
      <c r="F9" s="18">
        <f>F8*(1-Assumptions!B8)</f>
        <v>6987128462.925369</v>
      </c>
    </row>
    <row r="10" spans="1:6" x14ac:dyDescent="0.25">
      <c r="A10" t="s">
        <v>46</v>
      </c>
      <c r="B10" s="18">
        <f>B6*Assumptions!B9</f>
        <v>1911476945.0546699</v>
      </c>
      <c r="C10" s="18">
        <f>C6*Assumptions!B9</f>
        <v>1928511608.9046743</v>
      </c>
      <c r="D10" s="18">
        <f>D6*Assumptions!B9</f>
        <v>1945698081.9476871</v>
      </c>
      <c r="E10" s="18">
        <f>E6*Assumptions!B9</f>
        <v>1963037717.0739844</v>
      </c>
      <c r="F10" s="18">
        <f>F6*Assumptions!B9</f>
        <v>1980531879.2305045</v>
      </c>
    </row>
    <row r="11" spans="1:6" x14ac:dyDescent="0.25">
      <c r="A11" t="s">
        <v>47</v>
      </c>
      <c r="B11" s="18">
        <f>-B6*Assumptions!B10</f>
        <v>-1197255740.252523</v>
      </c>
      <c r="C11" s="18">
        <f>-C6*Assumptions!B10</f>
        <v>-1207925421.1662557</v>
      </c>
      <c r="D11" s="18">
        <f>-D6*Assumptions!B10</f>
        <v>-1218690187.939236</v>
      </c>
      <c r="E11" s="18">
        <f>-E6*Assumptions!B10</f>
        <v>-1229550887.9558141</v>
      </c>
      <c r="F11" s="18">
        <f>-F6*Assumptions!B10</f>
        <v>-1240508376.152044</v>
      </c>
    </row>
    <row r="12" spans="1:6" x14ac:dyDescent="0.25">
      <c r="A12" t="s">
        <v>48</v>
      </c>
      <c r="B12" s="18">
        <f>-(B6-Assumptions!B29)*Assumptions!B11</f>
        <v>-192378615.6466217</v>
      </c>
      <c r="C12" s="18">
        <f>-(C6-B6)*Assumptions!B11</f>
        <v>-194093051.73121262</v>
      </c>
      <c r="D12" s="18">
        <f>-(D6-C6)*Assumptions!B11</f>
        <v>-195822766.49466705</v>
      </c>
      <c r="E12" s="18">
        <f>-(E6-D6)*Assumptions!B11</f>
        <v>-197567896.09722137</v>
      </c>
      <c r="F12" s="18">
        <f>-(F6-E6)*Assumptions!B11</f>
        <v>-199328577.91254807</v>
      </c>
    </row>
    <row r="13" spans="1:6" x14ac:dyDescent="0.25">
      <c r="A13" s="19" t="s">
        <v>49</v>
      </c>
      <c r="B13" s="20">
        <f>B9+B10+B11+B12</f>
        <v>7265351799.522902</v>
      </c>
      <c r="C13" s="20">
        <f>C9+C10+C11+C12</f>
        <v>7330099023.37883</v>
      </c>
      <c r="D13" s="20">
        <f>D9+D10+D11+D12</f>
        <v>7395423260.311718</v>
      </c>
      <c r="E13" s="20">
        <f>E9+E10+E11+E12</f>
        <v>7461329652.535723</v>
      </c>
      <c r="F13" s="20">
        <f>F9+F10+F11+F12</f>
        <v>7527823388.091282</v>
      </c>
    </row>
    <row r="14" spans="1:6" x14ac:dyDescent="0.25">
      <c r="A14" t="s">
        <v>50</v>
      </c>
      <c r="B14" s="21">
        <f>1/(1+Assumptions!$B$26)^(1-0.5*Assumptions!$B$32)</f>
        <v>0.966746995680143</v>
      </c>
      <c r="C14" s="21">
        <f>1/(1+Assumptions!$B$26)^(2-0.5*Assumptions!$B$32)</f>
        <v>0.903521504010903</v>
      </c>
      <c r="D14" s="21">
        <f>1/(1+Assumptions!$B$26)^(3-0.5*Assumptions!$B$32)</f>
        <v>0.8444309750720149</v>
      </c>
      <c r="E14" s="21">
        <f>1/(1+Assumptions!$B$26)^(4-0.5*Assumptions!$B$32)</f>
        <v>0.7892049812822931</v>
      </c>
      <c r="F14" s="21">
        <f>1/(1+Assumptions!$B$26)^(5-0.5*Assumptions!$B$32)</f>
        <v>0.737590781090979</v>
      </c>
    </row>
    <row r="15" spans="1:6" x14ac:dyDescent="0.25">
      <c r="A15" s="19" t="s">
        <v>51</v>
      </c>
      <c r="B15" s="20">
        <f>B13*B14</f>
        <v>7023757024.748086</v>
      </c>
      <c r="C15" s="20">
        <f>C13*C14</f>
        <v>6622902094.152092</v>
      </c>
      <c r="D15" s="20">
        <f>D13*D14</f>
        <v>6244924474.775284</v>
      </c>
      <c r="E15" s="20">
        <f>E13*E14</f>
        <v>5888518528.7704735</v>
      </c>
      <c r="F15" s="20">
        <f>F13*F14</f>
        <v>5552453132.737188</v>
      </c>
    </row>
    <row r="17" spans="1:2" x14ac:dyDescent="0.25">
      <c r="A17" s="22" t="s">
        <v>52</v>
      </c>
      <c r="B17" s="23">
        <f>SUM(B15:F15)</f>
        <v>31332555255.18312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7527823388.091282</v>
      </c>
    </row>
    <row r="5" spans="1:2" x14ac:dyDescent="0.25">
      <c r="A5" t="s">
        <v>56</v>
      </c>
      <c r="B5" s="18">
        <f>IF(Assumptions!$B$33=0,B4,B4-Forecast!F11-Forecast!F10-Forecast!F12)</f>
        <v>6987128462.925369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0.35726155707005647</v>
      </c>
    </row>
    <row r="7" spans="1:2" x14ac:dyDescent="0.25">
      <c r="A7" t="s">
        <v>58</v>
      </c>
      <c r="B7" s="18">
        <f>-MAX(Forecast!F9,0)*B6</f>
        <v>-2496232394.113228</v>
      </c>
    </row>
    <row r="8" spans="1:2" x14ac:dyDescent="0.25">
      <c r="A8" t="s">
        <v>59</v>
      </c>
      <c r="B8" s="18">
        <f>IF(OR(Assumptions!$B$33=0,Assumptions!B12&lt;=0),B5,MAX(B5+B7,0))</f>
        <v>4490896068.812141</v>
      </c>
    </row>
    <row r="9" spans="1:2" x14ac:dyDescent="0.25">
      <c r="A9" t="s">
        <v>60</v>
      </c>
      <c r="B9" s="18">
        <f>B8*(1+Assumptions!B12)/(Assumptions!B26-Assumptions!B12)</f>
        <v>102345528158.64232</v>
      </c>
    </row>
    <row r="10" spans="1:2" x14ac:dyDescent="0.25">
      <c r="A10" t="s">
        <v>61</v>
      </c>
      <c r="B10" s="18">
        <f>B9/(1+Assumptions!B26)^(5-0.5*Assumptions!B32)</f>
        <v>75489118055.70177</v>
      </c>
    </row>
    <row r="11" spans="1:2" x14ac:dyDescent="0.25">
      <c r="A11" t="s">
        <v>62</v>
      </c>
      <c r="B11" s="18">
        <f>Forecast!B17+B10</f>
        <v>106821673310.88489</v>
      </c>
    </row>
    <row r="12" spans="1:2" x14ac:dyDescent="0.25">
      <c r="A12" t="s">
        <v>63</v>
      </c>
      <c r="B12" s="18">
        <f>-Assumptions!B30</f>
        <v>-140898000000</v>
      </c>
    </row>
    <row r="13" spans="1:2" x14ac:dyDescent="0.25">
      <c r="A13" t="s">
        <v>64</v>
      </c>
      <c r="B13" s="18">
        <f>B11+B12</f>
        <v>-34076326689.115112</v>
      </c>
    </row>
    <row r="14" spans="1:2" x14ac:dyDescent="0.25">
      <c r="A14" s="19" t="s">
        <v>65</v>
      </c>
      <c r="B14" s="24">
        <f>B13/Assumptions!B31</f>
        <v>-8.748735992070632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11962143969.12389</v>
      </c>
    </row>
    <row r="18" spans="1:2" x14ac:dyDescent="0.25">
      <c r="A18" t="s">
        <v>60</v>
      </c>
      <c r="B18" s="18">
        <f>B17*Assumptions!B13</f>
        <v>239242879382.47778</v>
      </c>
    </row>
    <row r="19" spans="1:2" x14ac:dyDescent="0.25">
      <c r="A19" t="s">
        <v>61</v>
      </c>
      <c r="B19" s="18">
        <f>B18/(1+Assumptions!B26)^(5-0.5*Assumptions!B32)</f>
        <v>176463342274.17667</v>
      </c>
    </row>
    <row r="20" spans="1:2" x14ac:dyDescent="0.25">
      <c r="A20" t="s">
        <v>62</v>
      </c>
      <c r="B20" s="18">
        <f>Forecast!B17+B19</f>
        <v>207795897529.3598</v>
      </c>
    </row>
    <row r="21" spans="1:2" x14ac:dyDescent="0.25">
      <c r="A21" t="s">
        <v>63</v>
      </c>
      <c r="B21" s="18">
        <f>-Assumptions!B30</f>
        <v>-140898000000</v>
      </c>
    </row>
    <row r="22" spans="1:2" x14ac:dyDescent="0.25">
      <c r="A22" t="s">
        <v>64</v>
      </c>
      <c r="B22" s="18">
        <f>B20+B21</f>
        <v>66897897529.3598</v>
      </c>
    </row>
    <row r="23" spans="1:2" x14ac:dyDescent="0.25">
      <c r="A23" s="19" t="s">
        <v>65</v>
      </c>
      <c r="B23" s="25">
        <f>B22/Assumptions!B31</f>
        <v>17.175326708436405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-8.748735992070632</v>
      </c>
    </row>
    <row r="29" spans="1:2" x14ac:dyDescent="0.25">
      <c r="A29" s="19" t="s">
        <v>73</v>
      </c>
      <c r="B29" s="12">
        <f>B28/B26-1</f>
        <v>-1.2517621868221764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0.049977</v>
      </c>
      <c r="B5" s="31">
        <v>1.4966379459926462</v>
      </c>
      <c r="C5" s="31">
        <v>1.6407439419211627</v>
      </c>
      <c r="D5" s="31">
        <v>1.7848499378496712</v>
      </c>
      <c r="E5" s="31">
        <v>1.9289559337781716</v>
      </c>
      <c r="F5" s="31">
        <v>2.07306192970668</v>
      </c>
    </row>
    <row r="6" spans="1:6" x14ac:dyDescent="0.25">
      <c r="A6" s="30">
        <v>0.059977</v>
      </c>
      <c r="B6" s="31">
        <v>-4.588889618921737</v>
      </c>
      <c r="C6" s="31">
        <v>-4.4738248039437485</v>
      </c>
      <c r="D6" s="31">
        <v>-4.358759988965772</v>
      </c>
      <c r="E6" s="31">
        <v>-4.243695173987784</v>
      </c>
      <c r="F6" s="31">
        <v>-4.128630359009808</v>
      </c>
    </row>
    <row r="7" spans="1:6" x14ac:dyDescent="0.25">
      <c r="A7" s="30">
        <v>0.069977</v>
      </c>
      <c r="B7" s="31">
        <v>-8.937915229651553</v>
      </c>
      <c r="C7" s="31">
        <v>-8.843374062323822</v>
      </c>
      <c r="D7" s="32">
        <v>-8.7488328949961</v>
      </c>
      <c r="E7" s="31">
        <v>-8.654291727668372</v>
      </c>
      <c r="F7" s="31">
        <v>-8.559750560340648</v>
      </c>
    </row>
    <row r="8" spans="1:6" x14ac:dyDescent="0.25">
      <c r="A8" s="30">
        <v>0.079977</v>
      </c>
      <c r="B8" s="31">
        <v>-12.201686995882948</v>
      </c>
      <c r="C8" s="31">
        <v>-12.122358196448037</v>
      </c>
      <c r="D8" s="31">
        <v>-12.043029397013132</v>
      </c>
      <c r="E8" s="31">
        <v>-11.963700597578221</v>
      </c>
      <c r="F8" s="31">
        <v>-11.884371798143317</v>
      </c>
    </row>
    <row r="9" spans="1:6" x14ac:dyDescent="0.25">
      <c r="A9" s="30">
        <v>0.089977</v>
      </c>
      <c r="B9" s="31">
        <v>-14.741943052278046</v>
      </c>
      <c r="C9" s="31">
        <v>-14.674295551033433</v>
      </c>
      <c r="D9" s="31">
        <v>-14.606648049788825</v>
      </c>
      <c r="E9" s="31">
        <v>-14.539000548544214</v>
      </c>
      <c r="F9" s="31">
        <v>-14.471353047299605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21587000000</v>
      </c>
      <c r="C5" s="18">
        <v>21376000000</v>
      </c>
      <c r="D5" s="18">
        <v>20427000000</v>
      </c>
      <c r="E5" s="18">
        <v>21020000000</v>
      </c>
      <c r="F5" s="8" t="s">
        <v>84</v>
      </c>
    </row>
    <row r="6" spans="1:6" x14ac:dyDescent="0.25">
      <c r="A6" t="s">
        <v>44</v>
      </c>
      <c r="B6" s="18">
        <v>10107000000</v>
      </c>
      <c r="C6" s="18">
        <v>10305000000</v>
      </c>
      <c r="D6" s="18">
        <v>8469000000</v>
      </c>
      <c r="E6" s="18">
        <v>8501000000</v>
      </c>
      <c r="F6" s="8" t="s">
        <v>85</v>
      </c>
    </row>
    <row r="7" spans="1:6" x14ac:dyDescent="0.25">
      <c r="A7" t="s">
        <v>86</v>
      </c>
      <c r="B7" s="18">
        <v>1522000000</v>
      </c>
      <c r="C7" s="18">
        <v>1237000000</v>
      </c>
      <c r="D7" s="18">
        <v>1581000000</v>
      </c>
      <c r="E7" s="18">
        <v>3054000000</v>
      </c>
      <c r="F7" s="8" t="s">
        <v>87</v>
      </c>
    </row>
    <row r="8" spans="1:6" x14ac:dyDescent="0.25">
      <c r="A8" t="s">
        <v>88</v>
      </c>
      <c r="B8" s="18">
        <v>1017000000</v>
      </c>
      <c r="C8" s="18">
        <v>1379000000</v>
      </c>
      <c r="D8" s="18">
        <v>1265000000</v>
      </c>
      <c r="E8" s="18">
        <v>974000000</v>
      </c>
      <c r="F8" s="8" t="s">
        <v>89</v>
      </c>
    </row>
    <row r="9" spans="1:6" x14ac:dyDescent="0.25">
      <c r="A9" t="s">
        <v>90</v>
      </c>
      <c r="B9" s="18">
        <v>28976000000</v>
      </c>
      <c r="C9" s="18">
        <v>19715000000</v>
      </c>
      <c r="D9" s="18">
        <v>-7475000000</v>
      </c>
      <c r="E9" s="18">
        <v>-43860000000</v>
      </c>
      <c r="F9" s="8" t="s">
        <v>91</v>
      </c>
    </row>
    <row r="10" spans="1:6" x14ac:dyDescent="0.25">
      <c r="A10" t="s">
        <v>92</v>
      </c>
      <c r="B10" s="18">
        <v>207167000000</v>
      </c>
      <c r="C10" s="18">
        <v>189749000000</v>
      </c>
      <c r="D10" s="18">
        <v>176122000000</v>
      </c>
      <c r="E10" s="18">
        <v>157846000000</v>
      </c>
      <c r="F10" s="8" t="s">
        <v>93</v>
      </c>
    </row>
    <row r="11" spans="1:6" x14ac:dyDescent="0.25">
      <c r="A11" t="s">
        <v>94</v>
      </c>
      <c r="B11" s="18">
        <v>66269000000</v>
      </c>
      <c r="C11" s="18">
        <v>102976000000</v>
      </c>
      <c r="D11" s="18">
        <v>105734000000</v>
      </c>
      <c r="E11" s="18">
        <v>71917000000</v>
      </c>
      <c r="F11" s="8" t="s">
        <v>95</v>
      </c>
    </row>
    <row r="12" spans="1:6" x14ac:dyDescent="0.25">
      <c r="A12" t="s">
        <v>32</v>
      </c>
      <c r="B12" s="34">
        <v>3895000000</v>
      </c>
      <c r="C12" s="34">
        <v>3891000000</v>
      </c>
      <c r="D12" s="34">
        <v>3889000000</v>
      </c>
      <c r="E12" s="34">
        <v>4118000000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