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<sst xmlns="http://schemas.openxmlformats.org/spreadsheetml/2006/main" count="114" uniqueCount="102">
  <si>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Waste Connections, Inc. (WCN.TO)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</si>
  <si>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</si>
  <si>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</si>
  <si>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</si>
  <si>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</si>
  <si>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</si>
  <si>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</si>
  <si>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</si>
  <si>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</si>
  <si>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</si>
  <si>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</si>
  <si>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</si>
  <si>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</si>
  <si>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</si>
  <si>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</si>
  <si>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</si>
  <si>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</si>
  <si>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</si>
  <si>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</si>
  <si>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</si>
  <si>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</si>
  <si>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</si>
  <si>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</si>
  <si>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</si>
  <si>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</si>
  <si>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</si>
  <si>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</si>
  <si>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</si>
  <si>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</si>
  <si>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</si>
  <si>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</si>
  <si>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</si>
  <si>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</si>
  <si>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</si>
  <si>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</si>
  <si>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</si>
  <si>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</si>
  <si>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</si>
  <si>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</si>
  <si>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</si>
  <si>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</si>
  <si>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</si>
  <si>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</si>
  <si>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</si>
  <si>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</si>
  <si>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</si>
  <si>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</si>
  <si>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</si>
  <si>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</si>
  <si>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</si>
  <si>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</si>
  <si>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</si>
  <si>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</si>
  <si>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</si>
  <si>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</si>
  <si>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</si>
  <si>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</si>
  <si>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</si>
  <si>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</si>
  <si>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</si>
  <si>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</si>
  <si>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</si>
  <si>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</si>
  <si>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</si>
  <si>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</si>
  <si>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</si>
  <si>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</si>
  <si>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</si>
  <si>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</si>
  <si>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</si>
  <si>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</si>
  <si>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</si>
  <si>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</si>
  <si>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</si>
  <si>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</si>
  <si>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</si>
  <si>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</si>
  <si>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</si>
  <si>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</si>
  <si>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</si>
  <si>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</si>
  <si>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</si>
  <si>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</si>
  <si>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</si>
  <si>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</si>
  <si>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</si>
  <si>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</si>
  <si>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</si>
  <si>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</si>
  <si>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</si>
  <si>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</si>
  <si>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</si>
  <si>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</si>
  <si>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</si>
  <si>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</si>
  <si>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</si>
  <si>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</si>
  <si>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</si>
  <si>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</si>
  <si>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</si>
  <si>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Current EV/EBITDA of 20.9x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</si>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</sst>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0.09493183630678903</v>
      </c>
    </row>
    <row r="7" spans="1:2" x14ac:dyDescent="0.25">
      <c r="A7" t="s">
        <v>5</v>
      </c>
      <c r="B7" s="6">
        <v>0.18482880186023753</v>
      </c>
    </row>
    <row r="8" spans="1:2" x14ac:dyDescent="0.25">
      <c r="A8" t="s">
        <v>6</v>
      </c>
      <c r="B8" s="6">
        <v>0.21369922815006165</v>
      </c>
    </row>
    <row r="9" spans="1:2" x14ac:dyDescent="0.25">
      <c r="A9" t="s">
        <v>7</v>
      </c>
      <c r="B9" s="6">
        <v>0.12827591860521254</v>
      </c>
    </row>
    <row r="10" spans="1:2" x14ac:dyDescent="0.25">
      <c r="A10" t="s">
        <v>8</v>
      </c>
      <c r="B10" s="6">
        <v>0.12188365696559597</v>
      </c>
    </row>
    <row r="11" spans="1:2" x14ac:dyDescent="0.25">
      <c r="A11" t="s">
        <v>9</v>
      </c>
      <c r="B11" s="6">
        <v>0.23317588342765475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0.08160054086565137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0.64758</v>
      </c>
      <c r="C19" s="8" t="s">
        <v>19</v>
      </c>
    </row>
    <row r="20" spans="1:2" x14ac:dyDescent="0.25">
      <c r="A20" t="s">
        <v>20</v>
      </c>
      <c r="B20" s="10">
        <f>B17+B19*B18</f>
        <v>0.06861690000000001</v>
      </c>
    </row>
    <row r="21" spans="1:3" x14ac:dyDescent="0.25">
      <c r="A21" t="s">
        <v>21</v>
      </c>
      <c r="B21" s="6">
        <v>0.03818112315164343</v>
      </c>
      <c r="C21" s="8" t="s">
        <v>22</v>
      </c>
    </row>
    <row r="22" spans="1:2" x14ac:dyDescent="0.25">
      <c r="A22" t="s">
        <v>23</v>
      </c>
      <c r="B22" s="11">
        <v>54703730688</v>
      </c>
    </row>
    <row r="23" spans="1:2" x14ac:dyDescent="0.25">
      <c r="A23" t="s">
        <v>24</v>
      </c>
      <c r="B23" s="11">
        <v>9131043000</v>
      </c>
    </row>
    <row r="24" spans="1:2" x14ac:dyDescent="0.25">
      <c r="A24" t="s">
        <v>25</v>
      </c>
      <c r="B24" s="10">
        <f>B22/(B22+B23)</f>
        <v>0.8569581675870106</v>
      </c>
    </row>
    <row r="25" spans="1:2" x14ac:dyDescent="0.25">
      <c r="A25" t="s">
        <v>26</v>
      </c>
      <c r="B25" s="10">
        <f>1-B24</f>
        <v>0.1430418324129894</v>
      </c>
    </row>
    <row r="26" spans="1:2" x14ac:dyDescent="0.25">
      <c r="A26" t="s">
        <v>27</v>
      </c>
      <c r="B26" s="12">
        <f>B24*B20+B25*B21*(1-B8)</f>
        <v>0.06309619284019258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9466915000</v>
      </c>
      <c r="C29" s="8" t="s">
        <v>30</v>
      </c>
    </row>
    <row r="30" spans="1:2" x14ac:dyDescent="0.25">
      <c r="A30" t="s">
        <v>31</v>
      </c>
      <c r="B30" s="11">
        <v>9085075000</v>
      </c>
    </row>
    <row r="31" spans="1:2" x14ac:dyDescent="0.25">
      <c r="A31" t="s">
        <v>32</v>
      </c>
      <c r="B31" s="13">
        <v>257976741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0.09493183630678903</v>
      </c>
      <c r="C5" s="10">
        <f>Assumptions!B6</f>
        <v>0.09493183630678903</v>
      </c>
      <c r="D5" s="10">
        <f>Assumptions!B6</f>
        <v>0.09493183630678903</v>
      </c>
      <c r="E5" s="10">
        <f>Assumptions!B6</f>
        <v>0.09493183630678903</v>
      </c>
      <c r="F5" s="10">
        <f>Assumptions!B6</f>
        <v>0.09493183630678903</v>
      </c>
    </row>
    <row r="6" spans="1:6" x14ac:dyDescent="0.25">
      <c r="A6" t="s">
        <v>43</v>
      </c>
      <c r="B6" s="18">
        <f>Assumptions!B29*(1+B5)</f>
        <v>10365626625.110285</v>
      </c>
      <c r="C6" s="18">
        <f>B6*(1+C5)</f>
        <v>11349654595.102549</v>
      </c>
      <c r="D6" s="18">
        <f>C6*(1+D5)</f>
        <v>12427098147.26342</v>
      </c>
      <c r="E6" s="18">
        <f>D6*(1+E5)</f>
        <v>13606825394.347832</v>
      </c>
      <c r="F6" s="18">
        <f>E6*(1+F5)</f>
        <v>14898546315.33912</v>
      </c>
    </row>
    <row r="7" spans="1:6" x14ac:dyDescent="0.25">
      <c r="A7" t="s">
        <v>5</v>
      </c>
      <c r="B7" s="10">
        <f>Assumptions!B7</f>
        <v>0.18482880186023753</v>
      </c>
      <c r="C7" s="10">
        <f>Assumptions!B7</f>
        <v>0.18482880186023753</v>
      </c>
      <c r="D7" s="10">
        <f>Assumptions!B7</f>
        <v>0.18482880186023753</v>
      </c>
      <c r="E7" s="10">
        <f>Assumptions!B7</f>
        <v>0.18482880186023753</v>
      </c>
      <c r="F7" s="10">
        <f>Assumptions!B7</f>
        <v>0.18482880186023753</v>
      </c>
    </row>
    <row r="8" spans="1:6" x14ac:dyDescent="0.25">
      <c r="A8" t="s">
        <v>44</v>
      </c>
      <c r="B8" s="18">
        <f>B6*B7</f>
        <v>1915866349.6497116</v>
      </c>
      <c r="C8" s="18">
        <f>C6*C7</f>
        <v>2097743060.3403435</v>
      </c>
      <c r="D8" s="18">
        <f>D6*D7</f>
        <v>2296885661.1582756</v>
      </c>
      <c r="E8" s="18">
        <f>E6*E7</f>
        <v>2514933234.758764</v>
      </c>
      <c r="F8" s="18">
        <f>F6*F7</f>
        <v>2753680464.9233866</v>
      </c>
    </row>
    <row r="9" spans="1:6" x14ac:dyDescent="0.25">
      <c r="A9" t="s">
        <v>45</v>
      </c>
      <c r="B9" s="18">
        <f>B8*(1-Assumptions!B8)</f>
        <v>1506447189.4908922</v>
      </c>
      <c r="C9" s="18">
        <f>C8*(1-Assumptions!B8)</f>
        <v>1649456987.4884639</v>
      </c>
      <c r="D9" s="18">
        <f>D8*(1-Assumptions!B8)</f>
        <v>1806042968.219808</v>
      </c>
      <c r="E9" s="18">
        <f>E8*(1-Assumptions!B8)</f>
        <v>1977493943.6418784</v>
      </c>
      <c r="F9" s="18">
        <f>F8*(1-Assumptions!B8)</f>
        <v>2165221074.997356</v>
      </c>
    </row>
    <row r="10" spans="1:6" x14ac:dyDescent="0.25">
      <c r="A10" t="s">
        <v>46</v>
      </c>
      <c r="B10" s="18">
        <f>B6*Assumptions!B9</f>
        <v>1329660277.2546709</v>
      </c>
      <c r="C10" s="18">
        <f>C6*Assumptions!B9</f>
        <v>1455887369.038651</v>
      </c>
      <c r="D10" s="18">
        <f>D6*Assumptions!B9</f>
        <v>1594097430.43735</v>
      </c>
      <c r="E10" s="18">
        <f>E6*Assumptions!B9</f>
        <v>1745428026.7607014</v>
      </c>
      <c r="F10" s="18">
        <f>F6*Assumptions!B9</f>
        <v>1911124714.4824302</v>
      </c>
    </row>
    <row r="11" spans="1:6" x14ac:dyDescent="0.25">
      <c r="A11" t="s">
        <v>47</v>
      </c>
      <c r="B11" s="18">
        <f>-B6*Assumptions!B10</f>
        <v>-1263400479.8083901</v>
      </c>
      <c r="C11" s="18">
        <f>-C6*Assumptions!B10</f>
        <v>-1383337407.347479</v>
      </c>
      <c r="D11" s="18">
        <f>-D6*Assumptions!B10</f>
        <v>-1514660167.658848</v>
      </c>
      <c r="E11" s="18">
        <f>-E6*Assumptions!B10</f>
        <v>-1658449638.7554512</v>
      </c>
      <c r="F11" s="18">
        <f>-F6*Assumptions!B10</f>
        <v>-1815889308.3848372</v>
      </c>
    </row>
    <row r="12" spans="1:6" x14ac:dyDescent="0.25">
      <c r="A12" t="s">
        <v>48</v>
      </c>
      <c r="B12" s="18">
        <f>-(B6-Assumptions!B29)*Assumptions!B11</f>
        <v>-209557877.13179392</v>
      </c>
      <c r="C12" s="18">
        <f>-(C6-B6)*Assumptions!B11</f>
        <v>-229451591.22046784</v>
      </c>
      <c r="D12" s="18">
        <f>-(D6-C6)*Assumptions!B11</f>
        <v>-251233852.11854163</v>
      </c>
      <c r="E12" s="18">
        <f>-(E6-D6)*Assumptions!B11</f>
        <v>-275083943.0425828</v>
      </c>
      <c r="F12" s="18">
        <f>-(F6-E6)*Assumptions!B11</f>
        <v>-301198166.89412767</v>
      </c>
    </row>
    <row r="13" spans="1:6" x14ac:dyDescent="0.25">
      <c r="A13" s="19" t="s">
        <v>49</v>
      </c>
      <c r="B13" s="20">
        <f>B9+B10+B11+B12</f>
        <v>1363149109.805379</v>
      </c>
      <c r="C13" s="20">
        <f>C9+C10+C11+C12</f>
        <v>1492555357.959168</v>
      </c>
      <c r="D13" s="20">
        <f>D9+D10+D11+D12</f>
        <v>1634246378.8797681</v>
      </c>
      <c r="E13" s="20">
        <f>E9+E10+E11+E12</f>
        <v>1789388388.6045458</v>
      </c>
      <c r="F13" s="20">
        <f>F9+F10+F11+F12</f>
        <v>1959258314.2008212</v>
      </c>
    </row>
    <row r="14" spans="1:6" x14ac:dyDescent="0.25">
      <c r="A14" t="s">
        <v>50</v>
      </c>
      <c r="B14" s="21">
        <f>1/(1+Assumptions!$B$26)^(1-0.5*Assumptions!$B$32)</f>
        <v>0.969870430161961</v>
      </c>
      <c r="C14" s="21">
        <f>1/(1+Assumptions!$B$26)^(2-0.5*Assumptions!$B$32)</f>
        <v>0.9123073120700703</v>
      </c>
      <c r="D14" s="21">
        <f>1/(1+Assumptions!$B$26)^(3-0.5*Assumptions!$B$32)</f>
        <v>0.8581606426721637</v>
      </c>
      <c r="E14" s="21">
        <f>1/(1+Assumptions!$B$26)^(4-0.5*Assumptions!$B$32)</f>
        <v>0.8072276511304982</v>
      </c>
      <c r="F14" s="21">
        <f>1/(1+Assumptions!$B$26)^(5-0.5*Assumptions!$B$32)</f>
        <v>0.7593176013300265</v>
      </c>
    </row>
    <row r="15" spans="1:6" x14ac:dyDescent="0.25">
      <c r="A15" s="19" t="s">
        <v>51</v>
      </c>
      <c r="B15" s="20">
        <f>B13*B14</f>
        <v>1322078013.501837</v>
      </c>
      <c r="C15" s="20">
        <f>C13*C14</f>
        <v>1361669166.73551</v>
      </c>
      <c r="D15" s="20">
        <f>D13*D14</f>
        <v>1402445922.7841182</v>
      </c>
      <c r="E15" s="20">
        <f>E13*E14</f>
        <v>1444443785.8934348</v>
      </c>
      <c r="F15" s="20">
        <f>F13*F14</f>
        <v>1487699323.5248787</v>
      </c>
    </row>
    <row r="17" spans="1:2" x14ac:dyDescent="0.25">
      <c r="A17" s="22" t="s">
        <v>52</v>
      </c>
      <c r="B17" s="23">
        <f>SUM(B15:F15)</f>
        <v>7018336212.439778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1959258314.2008212</v>
      </c>
    </row>
    <row r="5" spans="1:2" x14ac:dyDescent="0.25">
      <c r="A5" t="s">
        <v>56</v>
      </c>
      <c r="B5" s="18">
        <f>IF(Assumptions!$B$33=0,B4,B4-Forecast!F11-Forecast!F10-Forecast!F12)</f>
        <v>2410624639.3238897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0.30637051831752515</v>
      </c>
    </row>
    <row r="7" spans="1:2" x14ac:dyDescent="0.25">
      <c r="A7" t="s">
        <v>58</v>
      </c>
      <c r="B7" s="18">
        <f>-MAX(Forecast!F9,0)*B6</f>
        <v>-738544320.2186573</v>
      </c>
    </row>
    <row r="8" spans="1:2" x14ac:dyDescent="0.25">
      <c r="A8" t="s">
        <v>59</v>
      </c>
      <c r="B8" s="18">
        <f>IF(OR(Assumptions!$B$33=0,Assumptions!B12&lt;=0),B5,MAX(B5+B7,0))</f>
        <v>1672080319.1052325</v>
      </c>
    </row>
    <row r="9" spans="1:2" x14ac:dyDescent="0.25">
      <c r="A9" t="s">
        <v>60</v>
      </c>
      <c r="B9" s="18">
        <f>B8*(1+Assumptions!B12)/(Assumptions!B26-Assumptions!B12)</f>
        <v>44988283587.08506</v>
      </c>
    </row>
    <row r="10" spans="1:2" x14ac:dyDescent="0.25">
      <c r="A10" t="s">
        <v>61</v>
      </c>
      <c r="B10" s="18">
        <f>B9/(1+Assumptions!B26)^(5-0.5*Assumptions!B32)</f>
        <v>34160395581.300426</v>
      </c>
    </row>
    <row r="11" spans="1:2" x14ac:dyDescent="0.25">
      <c r="A11" t="s">
        <v>62</v>
      </c>
      <c r="B11" s="18">
        <f>Forecast!B17+B10</f>
        <v>41178731793.740204</v>
      </c>
    </row>
    <row r="12" spans="1:2" x14ac:dyDescent="0.25">
      <c r="A12" t="s">
        <v>63</v>
      </c>
      <c r="B12" s="18">
        <f>-Assumptions!B30</f>
        <v>-9085075000</v>
      </c>
    </row>
    <row r="13" spans="1:2" x14ac:dyDescent="0.25">
      <c r="A13" t="s">
        <v>64</v>
      </c>
      <c r="B13" s="18">
        <f>B11+B12</f>
        <v>32093656793.740204</v>
      </c>
    </row>
    <row r="14" spans="1:2" x14ac:dyDescent="0.25">
      <c r="A14" s="19" t="s">
        <v>65</v>
      </c>
      <c r="B14" s="24">
        <f>B13/Assumptions!B31</f>
        <v>124.40523385687783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4664805179.405817</v>
      </c>
    </row>
    <row r="18" spans="1:2" x14ac:dyDescent="0.25">
      <c r="A18" t="s">
        <v>60</v>
      </c>
      <c r="B18" s="18">
        <f>B17*Assumptions!B13</f>
        <v>93296103588.11633</v>
      </c>
    </row>
    <row r="19" spans="1:2" x14ac:dyDescent="0.25">
      <c r="A19" t="s">
        <v>61</v>
      </c>
      <c r="B19" s="18">
        <f>B18/(1+Assumptions!B26)^(5-0.5*Assumptions!B32)</f>
        <v>70841373589.96617</v>
      </c>
    </row>
    <row r="20" spans="1:2" x14ac:dyDescent="0.25">
      <c r="A20" t="s">
        <v>62</v>
      </c>
      <c r="B20" s="18">
        <f>Forecast!B17+B19</f>
        <v>77859709802.40594</v>
      </c>
    </row>
    <row r="21" spans="1:2" x14ac:dyDescent="0.25">
      <c r="A21" t="s">
        <v>63</v>
      </c>
      <c r="B21" s="18">
        <f>-Assumptions!B30</f>
        <v>-9085075000</v>
      </c>
    </row>
    <row r="22" spans="1:2" x14ac:dyDescent="0.25">
      <c r="A22" t="s">
        <v>64</v>
      </c>
      <c r="B22" s="18">
        <f>B20+B21</f>
        <v>68774634802.40594</v>
      </c>
    </row>
    <row r="23" spans="1:2" x14ac:dyDescent="0.25">
      <c r="A23" s="19" t="s">
        <v>65</v>
      </c>
      <c r="B23" s="25">
        <f>B22/Assumptions!B31</f>
        <v>266.5923855608593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217.45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173.9433979786866</v>
      </c>
    </row>
    <row r="29" spans="1:2" x14ac:dyDescent="0.25">
      <c r="A29" s="19" t="s">
        <v>73</v>
      </c>
      <c r="B29" s="12">
        <f>B28/B26-1</f>
        <v>-0.200076348683897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0.043096</v>
      </c>
      <c r="B5" s="31">
        <v>221.22848614548357</v>
      </c>
      <c r="C5" s="31">
        <v>251.01243476447362</v>
      </c>
      <c r="D5" s="31">
        <v>296.9935527203089</v>
      </c>
      <c r="E5" s="31">
        <v>377.7238818618503</v>
      </c>
      <c r="F5" s="31">
        <v>557.5856069452237</v>
      </c>
    </row>
    <row r="6" spans="1:6" x14ac:dyDescent="0.25">
      <c r="A6" s="30">
        <v>0.053096</v>
      </c>
      <c r="B6" s="31">
        <v>153.65295930514742</v>
      </c>
      <c r="C6" s="31">
        <v>164.9071940257419</v>
      </c>
      <c r="D6" s="31">
        <v>180.00560069148267</v>
      </c>
      <c r="E6" s="31">
        <v>201.44482717114337</v>
      </c>
      <c r="F6" s="31">
        <v>234.48085805849053</v>
      </c>
    </row>
    <row r="7" spans="1:6" x14ac:dyDescent="0.25">
      <c r="A7" s="30">
        <v>0.063096</v>
      </c>
      <c r="B7" s="31">
        <v>114.20090330946434</v>
      </c>
      <c r="C7" s="31">
        <v>118.76190564271698</v>
      </c>
      <c r="D7" s="32">
        <v>124.4060248610133</v>
      </c>
      <c r="E7" s="31">
        <v>131.62415875489162</v>
      </c>
      <c r="F7" s="31">
        <v>141.25664830291586</v>
      </c>
    </row>
    <row r="8" spans="1:6" x14ac:dyDescent="0.25">
      <c r="A8" s="30">
        <v>0.073096</v>
      </c>
      <c r="B8" s="31">
        <v>88.34878657403712</v>
      </c>
      <c r="C8" s="31">
        <v>89.99881116404997</v>
      </c>
      <c r="D8" s="31">
        <v>91.90523979612655</v>
      </c>
      <c r="E8" s="31">
        <v>94.15731649827308</v>
      </c>
      <c r="F8" s="31">
        <v>96.89113747615556</v>
      </c>
    </row>
    <row r="9" spans="1:6" x14ac:dyDescent="0.25">
      <c r="A9" s="30">
        <v>0.083096</v>
      </c>
      <c r="B9" s="31">
        <v>70.42605818950433</v>
      </c>
      <c r="C9" s="31">
        <v>70.8186467504547</v>
      </c>
      <c r="D9" s="31">
        <v>71.21123531140503</v>
      </c>
      <c r="E9" s="31">
        <v>71.60382387235538</v>
      </c>
      <c r="F9" s="31">
        <v>71.99641243330572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9466915000</v>
      </c>
      <c r="C5" s="18">
        <v>8919591000</v>
      </c>
      <c r="D5" s="18">
        <v>8021951000</v>
      </c>
      <c r="E5" s="18">
        <v>7211859000</v>
      </c>
      <c r="F5" s="8" t="s">
        <v>84</v>
      </c>
    </row>
    <row r="6" spans="1:6" x14ac:dyDescent="0.25">
      <c r="A6" t="s">
        <v>44</v>
      </c>
      <c r="B6" s="18">
        <v>1819883000</v>
      </c>
      <c r="C6" s="18">
        <v>1680671000</v>
      </c>
      <c r="D6" s="18">
        <v>1475108000</v>
      </c>
      <c r="E6" s="18">
        <v>1260420000</v>
      </c>
      <c r="F6" s="8" t="s">
        <v>85</v>
      </c>
    </row>
    <row r="7" spans="1:6" x14ac:dyDescent="0.25">
      <c r="A7" t="s">
        <v>86</v>
      </c>
      <c r="B7" s="18">
        <v>1232106000</v>
      </c>
      <c r="C7" s="18">
        <v>1163769000</v>
      </c>
      <c r="D7" s="18">
        <v>1003211000</v>
      </c>
      <c r="E7" s="18">
        <v>918960000</v>
      </c>
      <c r="F7" s="8" t="s">
        <v>87</v>
      </c>
    </row>
    <row r="8" spans="1:6" x14ac:dyDescent="0.25">
      <c r="A8" t="s">
        <v>88</v>
      </c>
      <c r="B8" s="18">
        <v>1194366000</v>
      </c>
      <c r="C8" s="18">
        <v>1055988000</v>
      </c>
      <c r="D8" s="18">
        <v>934000000</v>
      </c>
      <c r="E8" s="18">
        <v>912677000</v>
      </c>
      <c r="F8" s="8" t="s">
        <v>89</v>
      </c>
    </row>
    <row r="9" spans="1:6" x14ac:dyDescent="0.25">
      <c r="A9" t="s">
        <v>90</v>
      </c>
      <c r="B9" s="18">
        <v>264167000</v>
      </c>
      <c r="C9" s="18">
        <v>209308000</v>
      </c>
      <c r="D9" s="18">
        <v>-12534000</v>
      </c>
      <c r="E9" s="18">
        <v>-72800000</v>
      </c>
      <c r="F9" s="8" t="s">
        <v>91</v>
      </c>
    </row>
    <row r="10" spans="1:6" x14ac:dyDescent="0.25">
      <c r="A10" t="s">
        <v>92</v>
      </c>
      <c r="B10" s="18">
        <v>9131043000</v>
      </c>
      <c r="C10" s="18">
        <v>8393376000</v>
      </c>
      <c r="D10" s="18">
        <v>7022206000</v>
      </c>
      <c r="E10" s="18">
        <v>7097540000</v>
      </c>
      <c r="F10" s="8" t="s">
        <v>93</v>
      </c>
    </row>
    <row r="11" spans="1:6" x14ac:dyDescent="0.25">
      <c r="A11" t="s">
        <v>94</v>
      </c>
      <c r="B11" s="18">
        <v>45968000</v>
      </c>
      <c r="C11" s="18">
        <v>62366000</v>
      </c>
      <c r="D11" s="18">
        <v>78399000</v>
      </c>
      <c r="E11" s="18">
        <v>78637000</v>
      </c>
      <c r="F11" s="8" t="s">
        <v>95</v>
      </c>
    </row>
    <row r="12" spans="1:6" x14ac:dyDescent="0.25">
      <c r="A12" t="s">
        <v>32</v>
      </c>
      <c r="B12" s="34">
        <v>257976741</v>
      </c>
      <c r="C12" s="34">
        <v>258662190</v>
      </c>
      <c r="D12" s="34">
        <v>258149244</v>
      </c>
      <c r="E12" s="34">
        <v>258038801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2026-09-19T01:05:23Z</dcterms:modified>
</cp:coreProperties>
</file>