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<sst xmlns="http://schemas.openxmlformats.org/spreadsheetml/2006/main" count="120" uniqueCount="107">
  <si>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Workday, Inc. (WDAY)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</si>
  <si>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</si>
  <si>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</si>
  <si>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</si>
  <si>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</si>
  <si>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</si>
  <si>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</si>
  <si>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</si>
  <si>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</si>
  <si>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</si>
  <si>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</si>
  <si>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</si>
  <si>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</si>
  <si>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</si>
  <si>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</si>
  <si>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</si>
  <si>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</si>
  <si>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</si>
  <si>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</si>
  <si>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</si>
  <si>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</si>
  <si>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</si>
  <si>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</si>
  <si>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</si>
  <si>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9.0x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</si>
  <si>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</si>
  <si>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</si>
  <si>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</si>
  <si>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</si>
  <si>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</si>
  <si>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</si>
  <si>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</si>
  <si>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</si>
  <si>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</si>
  <si>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</si>
  <si>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</si>
  <si>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</si>
  <si>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</si>
  <si>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</si>
  <si>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</si>
  <si>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</si>
  <si>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</si>
  <si>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</si>
  <si>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</si>
  <si>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</si>
  <si>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</si>
  <si>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</si>
  <si>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</si>
  <si>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</si>
  <si>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</si>
  <si>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</si>
  <si>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</si>
  <si>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</si>
  <si>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</si>
  <si>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</si>
  <si>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</si>
  <si>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</si>
  <si>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</si>
  <si>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</si>
  <si>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</si>
  <si>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</si>
  <si>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</si>
  <si>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</si>
  <si>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</si>
  <si>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</si>
  <si>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</si>
  <si>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</si>
  <si>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</si>
  <si>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</si>
  <si>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</si>
  <si>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</si>
  <si>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</si>
  <si>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</si>
  <si>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</si>
  <si>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</si>
  <si>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</si>
  <si>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</si>
  <si>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</si>
  <si>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</si>
  <si>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</si>
  <si>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</si>
  <si>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</si>
  <si>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</si>
  <si>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</si>
  <si>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</si>
  <si>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</si>
  <si>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</si>
  <si>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</si>
  <si>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</si>
  <si>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</si>
  <si>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</si>
  <si>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</si>
  <si>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</si>
  <si>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</si>
  <si>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</si>
  <si>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</si>
  <si>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</si>
  <si>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</si>
  <si>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</si>
  <si>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</si>
  <si>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</si>
  <si>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</si>
  <si>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</si>
  <si>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</si>
  <si>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</si>
  <si>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33.6x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</si>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</sst>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0.11668699644053593</v>
      </c>
    </row>
    <row r="7" spans="1:2" x14ac:dyDescent="0.25">
      <c r="A7" t="s">
        <v>4</v>
      </c>
      <c r="B7" s="5">
        <v>0.04055367667537895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0.043083127108219724</v>
      </c>
    </row>
    <row r="10" spans="1:3" x14ac:dyDescent="0.25">
      <c r="A10" t="s">
        <v>7</v>
      </c>
      <c r="B10" s="5">
        <v>0.03530543798476894</v>
      </c>
      <c r="C10" s="6" t="s">
        <v>8</v>
      </c>
    </row>
    <row r="11" spans="1:2" x14ac:dyDescent="0.25">
      <c r="A11" t="s">
        <v>9</v>
      </c>
      <c r="B11" s="5">
        <v>0.22294531600712042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0.08951482329686343</v>
      </c>
      <c r="C14" s="6" t="s">
        <v>13</v>
      </c>
    </row>
    <row r="15" spans="1:3" x14ac:dyDescent="0.25">
      <c r="A15" t="s">
        <v>14</v>
      </c>
      <c r="B15" s="5">
        <v>0.043083127108219724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1.0495800000000002</v>
      </c>
      <c r="C19" s="6" t="s">
        <v>21</v>
      </c>
    </row>
    <row r="20" spans="1:2" x14ac:dyDescent="0.25">
      <c r="A20" t="s">
        <v>22</v>
      </c>
      <c r="B20" s="9">
        <f>B17+B19*B18</f>
        <v>0.09333723400000002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47674621952</v>
      </c>
    </row>
    <row r="23" spans="1:2" x14ac:dyDescent="0.25">
      <c r="A23" t="s">
        <v>26</v>
      </c>
      <c r="B23" s="10">
        <v>3821000000</v>
      </c>
    </row>
    <row r="24" spans="1:2" x14ac:dyDescent="0.25">
      <c r="A24" t="s">
        <v>27</v>
      </c>
      <c r="B24" s="9">
        <f>B22/(B22+B23)</f>
        <v>0.9257995174121477</v>
      </c>
    </row>
    <row r="25" spans="1:2" x14ac:dyDescent="0.25">
      <c r="A25" t="s">
        <v>28</v>
      </c>
      <c r="B25" s="9">
        <f>1-B24</f>
        <v>0.07420048258785228</v>
      </c>
    </row>
    <row r="26" spans="1:2" x14ac:dyDescent="0.25">
      <c r="A26" t="s">
        <v>29</v>
      </c>
      <c r="B26" s="11">
        <f>B24*B20+B25*B21*(1-B8)</f>
        <v>0.08951482329686343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9552000000</v>
      </c>
      <c r="C29" s="6" t="s">
        <v>32</v>
      </c>
    </row>
    <row r="30" spans="1:2" x14ac:dyDescent="0.25">
      <c r="A30" t="s">
        <v>33</v>
      </c>
      <c r="B30" s="10">
        <v>-1622000000</v>
      </c>
    </row>
    <row r="31" spans="1:2" x14ac:dyDescent="0.25">
      <c r="A31" t="s">
        <v>34</v>
      </c>
      <c r="B31" s="12">
        <v>268117000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0.11668699644053593</v>
      </c>
      <c r="C5" s="5">
        <v>0.10444165214838841</v>
      </c>
      <c r="D5" s="5">
        <v>0.09451144562983986</v>
      </c>
      <c r="E5" s="5">
        <v>0.08458123911129131</v>
      </c>
      <c r="F5" s="5">
        <v>0.07465103259274275</v>
      </c>
      <c r="G5" s="5">
        <v>0.0647208260741942</v>
      </c>
      <c r="H5" s="5">
        <v>0.05479061955564565</v>
      </c>
      <c r="I5" s="5">
        <v>0.0448604130370971</v>
      </c>
      <c r="J5" s="5">
        <v>0.03493020651854854</v>
      </c>
      <c r="K5" s="5">
        <v>0.024999999999999994</v>
      </c>
    </row>
    <row r="6" spans="1:11" x14ac:dyDescent="0.25">
      <c r="A6" t="s">
        <v>50</v>
      </c>
      <c r="B6" s="18">
        <f>Assumptions!B29*(1+B5)</f>
        <v>10666594190</v>
      </c>
      <c r="C6" s="18">
        <f>B6*(1+C5)</f>
        <v>11780630910</v>
      </c>
      <c r="D6" s="18">
        <f>C6*(1+D5)</f>
        <v>12894035367.735676</v>
      </c>
      <c r="E6" s="18">
        <f>D6*(1+E5)</f>
        <v>13984628856.283573</v>
      </c>
      <c r="F6" s="18">
        <f>E6*(1+F5)</f>
        <v>15028595840.83141</v>
      </c>
      <c r="G6" s="18">
        <f>F6*(1+G5)</f>
        <v>16001258978.385218</v>
      </c>
      <c r="H6" s="18">
        <f>G6*(1+H5)</f>
        <v>16877977871.48128</v>
      </c>
      <c r="I6" s="18">
        <f>H6*(1+I5)</f>
        <v>17635130930.026913</v>
      </c>
      <c r="J6" s="18">
        <f>I6*(1+J5)</f>
        <v>18251129695.394398</v>
      </c>
      <c r="K6" s="18">
        <f>J6*(1+K5)</f>
        <v>18707407937.779255</v>
      </c>
    </row>
    <row r="7" spans="1:11" x14ac:dyDescent="0.25">
      <c r="A7" t="s">
        <v>4</v>
      </c>
      <c r="B7" s="9">
        <f>Assumptions!B7</f>
        <v>0.04055367667537895</v>
      </c>
      <c r="C7" s="9">
        <f>Assumptions!B7</f>
        <v>0.04055367667537895</v>
      </c>
      <c r="D7" s="9">
        <f>Assumptions!B7</f>
        <v>0.04055367667537895</v>
      </c>
      <c r="E7" s="9">
        <f>Assumptions!B7</f>
        <v>0.04055367667537895</v>
      </c>
      <c r="F7" s="9">
        <f>Assumptions!B7</f>
        <v>0.04055367667537895</v>
      </c>
      <c r="G7" s="9">
        <f>Assumptions!B7</f>
        <v>0.04055367667537895</v>
      </c>
      <c r="H7" s="9">
        <f>Assumptions!B7</f>
        <v>0.04055367667537895</v>
      </c>
      <c r="I7" s="9">
        <f>Assumptions!B7</f>
        <v>0.04055367667537895</v>
      </c>
      <c r="J7" s="9">
        <f>Assumptions!B7</f>
        <v>0.04055367667537895</v>
      </c>
      <c r="K7" s="9">
        <f>Assumptions!B7</f>
        <v>0.04055367667537895</v>
      </c>
    </row>
    <row r="8" spans="1:11" x14ac:dyDescent="0.25">
      <c r="A8" t="s">
        <v>51</v>
      </c>
      <c r="B8" s="18">
        <f>B6*B7</f>
        <v>432569612.00873566</v>
      </c>
      <c r="C8" s="18">
        <f>C6*C7</f>
        <v>477747896.9561153</v>
      </c>
      <c r="D8" s="18">
        <f>D6*D7</f>
        <v>522900541.3440535</v>
      </c>
      <c r="E8" s="18">
        <f>E6*E7</f>
        <v>567128117.0628985</v>
      </c>
      <c r="F8" s="18">
        <f>F6*F7</f>
        <v>609464816.6140219</v>
      </c>
      <c r="G8" s="18">
        <f>G6*G7</f>
        <v>648909883.0084386</v>
      </c>
      <c r="H8" s="18">
        <f>H6*H7</f>
        <v>684464057.5342524</v>
      </c>
      <c r="I8" s="18">
        <f>I6*I7</f>
        <v>715169397.8642863</v>
      </c>
      <c r="J8" s="18">
        <f>J6*J7</f>
        <v>740150412.6274319</v>
      </c>
      <c r="K8" s="18">
        <f>K6*K7</f>
        <v>758654172.9431176</v>
      </c>
    </row>
    <row r="9" spans="1:11" x14ac:dyDescent="0.25">
      <c r="A9" t="s">
        <v>52</v>
      </c>
      <c r="B9" s="18">
        <f>B8*(1-Assumptions!B8)</f>
        <v>341729993.48690116</v>
      </c>
      <c r="C9" s="18">
        <f>C8*(1-Assumptions!B8)</f>
        <v>377420838.59533113</v>
      </c>
      <c r="D9" s="18">
        <f>D8*(1-Assumptions!B8)</f>
        <v>413091427.6618023</v>
      </c>
      <c r="E9" s="18">
        <f>E8*(1-Assumptions!B8)</f>
        <v>448031212.47968984</v>
      </c>
      <c r="F9" s="18">
        <f>F8*(1-Assumptions!B8)</f>
        <v>481477205.1250773</v>
      </c>
      <c r="G9" s="18">
        <f>G8*(1-Assumptions!B8)</f>
        <v>512638807.57666653</v>
      </c>
      <c r="H9" s="18">
        <f>H8*(1-Assumptions!B8)</f>
        <v>540726605.4520594</v>
      </c>
      <c r="I9" s="18">
        <f>I8*(1-Assumptions!B8)</f>
        <v>564983824.3127862</v>
      </c>
      <c r="J9" s="18">
        <f>J8*(1-Assumptions!B8)</f>
        <v>584718825.9756712</v>
      </c>
      <c r="K9" s="18">
        <f>K8*(1-Assumptions!B8)</f>
        <v>599336796.625063</v>
      </c>
    </row>
    <row r="10" spans="1:11" x14ac:dyDescent="0.25">
      <c r="A10" t="s">
        <v>53</v>
      </c>
      <c r="B10" s="18">
        <f>B6*Assumptions!B9</f>
        <v>459550233.299568</v>
      </c>
      <c r="C10" s="18">
        <f>C6*Assumptions!B9</f>
        <v>507546418.9105522</v>
      </c>
      <c r="D10" s="18">
        <f>D6*Assumptions!B9</f>
        <v>555515364.6860368</v>
      </c>
      <c r="E10" s="18">
        <f>E6*Assumptions!B9</f>
        <v>602501542.5765426</v>
      </c>
      <c r="F10" s="18">
        <f>F6*Assumptions!B9</f>
        <v>647478904.8686019</v>
      </c>
      <c r="G10" s="18">
        <f>G6*Assumptions!B9</f>
        <v>689384274.4573125</v>
      </c>
      <c r="H10" s="18">
        <f>H6*Assumptions!B9</f>
        <v>727156065.9667478</v>
      </c>
      <c r="I10" s="18">
        <f>I6*Assumptions!B9</f>
        <v>759776587.4284465</v>
      </c>
      <c r="J10" s="18">
        <f>J6*Assumptions!B9</f>
        <v>786315740.5352803</v>
      </c>
      <c r="K10" s="18">
        <f>K6*Assumptions!B9</f>
        <v>805973634.0486623</v>
      </c>
    </row>
    <row r="11" spans="1:11" x14ac:dyDescent="0.25">
      <c r="A11" t="s">
        <v>54</v>
      </c>
      <c r="B11" s="18">
        <f>-B6*B19</f>
        <v>-376588779.6837417</v>
      </c>
      <c r="C11" s="18">
        <f>-C6*C19</f>
        <v>-437812938.7053753</v>
      </c>
      <c r="D11" s="18">
        <f>-D6*D19</f>
        <v>-503152978.8667283</v>
      </c>
      <c r="E11" s="18">
        <f>-E6*E19</f>
        <v>-571698698.5099554</v>
      </c>
      <c r="F11" s="18">
        <f>-F6*F19</f>
        <v>-642305076.0953243</v>
      </c>
      <c r="G11" s="18">
        <f>-G6*G19</f>
        <v>-713611624.8799256</v>
      </c>
      <c r="H11" s="18">
        <f>-H6*H19</f>
        <v>-784076137.3050722</v>
      </c>
      <c r="I11" s="18">
        <f>-I6*I19</f>
        <v>-852022465.8894032</v>
      </c>
      <c r="J11" s="18">
        <f>-J6*J19</f>
        <v>-915700880.7197405</v>
      </c>
      <c r="K11" s="18">
        <f>-K6*K19</f>
        <v>-973358424.2295706</v>
      </c>
    </row>
    <row r="12" spans="1:11" x14ac:dyDescent="0.25">
      <c r="A12" t="s">
        <v>55</v>
      </c>
      <c r="B12" s="18">
        <f>-(B6-Assumptions!B29)*Assumptions!B11</f>
        <v>-248493553.9092504</v>
      </c>
      <c r="C12" s="18">
        <f>-(C6-B6)*Assumptions!B11</f>
        <v>-248369268.58393592</v>
      </c>
      <c r="D12" s="18">
        <f>-(D6-C6)*Assumptions!B11</f>
        <v>-248228308.6736168</v>
      </c>
      <c r="E12" s="18">
        <f>-(E6-D6)*Assumptions!B11</f>
        <v>-243142709.93961883</v>
      </c>
      <c r="F12" s="18">
        <f>-(F6-E6)*Assumptions!B11</f>
        <v>-232747549.27101797</v>
      </c>
      <c r="G12" s="18">
        <f>-(G6-F6)*Assumptions!B11</f>
        <v>-216850690.570411</v>
      </c>
      <c r="H12" s="18">
        <f>-(H6-G6)*Assumptions!B11</f>
        <v>-195460370.6707143</v>
      </c>
      <c r="I12" s="18">
        <f>-(I6-H6)*Assumptions!B11</f>
        <v>-168803727.90321398</v>
      </c>
      <c r="J12" s="18">
        <f>-(J6-I6)*Assumptions!B11</f>
        <v>-137334039.40484998</v>
      </c>
      <c r="K12" s="18">
        <f>-(K6-J6)*Assumptions!B11</f>
        <v>-101725096.93566547</v>
      </c>
    </row>
    <row r="13" spans="1:11" x14ac:dyDescent="0.25">
      <c r="A13" s="19" t="s">
        <v>56</v>
      </c>
      <c r="B13" s="20">
        <f>B9+B10+B11+B12</f>
        <v>176197893.19347712</v>
      </c>
      <c r="C13" s="20">
        <f>C9+C10+C11+C12</f>
        <v>198785050.2165721</v>
      </c>
      <c r="D13" s="20">
        <f>D9+D10+D11+D12</f>
        <v>217225504.807494</v>
      </c>
      <c r="E13" s="20">
        <f>E9+E10+E11+E12</f>
        <v>235691346.60665822</v>
      </c>
      <c r="F13" s="20">
        <f>F9+F10+F11+F12</f>
        <v>253903484.62733704</v>
      </c>
      <c r="G13" s="20">
        <f>G9+G10+G11+G12</f>
        <v>271560766.58364236</v>
      </c>
      <c r="H13" s="20">
        <f>H9+H10+H11+H12</f>
        <v>288346163.4430206</v>
      </c>
      <c r="I13" s="20">
        <f>I9+I10+I11+I12</f>
        <v>303934217.9486157</v>
      </c>
      <c r="J13" s="20">
        <f>J9+J10+J11+J12</f>
        <v>317999646.386361</v>
      </c>
      <c r="K13" s="20">
        <f>K9+K10+K11+K12</f>
        <v>330226909.508489</v>
      </c>
    </row>
    <row r="14" spans="1:11" x14ac:dyDescent="0.25">
      <c r="A14" t="s">
        <v>57</v>
      </c>
      <c r="B14" s="21">
        <f>1/(1+Assumptions!$B$26)^(1-0.5*Assumptions!$B$32)</f>
        <v>0.958039528430305</v>
      </c>
      <c r="C14" s="21">
        <f>1/(1+Assumptions!$B$26)^(2-0.5*Assumptions!$B$32)</f>
        <v>0.8793267498016086</v>
      </c>
      <c r="D14" s="21">
        <f>1/(1+Assumptions!$B$26)^(3-0.5*Assumptions!$B$32)</f>
        <v>0.8070810336850421</v>
      </c>
      <c r="E14" s="21">
        <f>1/(1+Assumptions!$B$26)^(4-0.5*Assumptions!$B$32)</f>
        <v>0.7407710445304646</v>
      </c>
      <c r="F14" s="21">
        <f>1/(1+Assumptions!$B$26)^(5-0.5*Assumptions!$B$32)</f>
        <v>0.6799091014557261</v>
      </c>
      <c r="G14" s="21">
        <f>1/(1+Assumptions!$B$26)^(6-0.5*Assumptions!$B$32)</f>
        <v>0.6240475915677095</v>
      </c>
      <c r="H14" s="21">
        <f>1/(1+Assumptions!$B$26)^(7-0.5*Assumptions!$B$32)</f>
        <v>0.5727756779658548</v>
      </c>
      <c r="I14" s="21">
        <f>1/(1+Assumptions!$B$26)^(8-0.5*Assumptions!$B$32)</f>
        <v>0.5257162782169774</v>
      </c>
      <c r="J14" s="21">
        <f>1/(1+Assumptions!$B$26)^(9-0.5*Assumptions!$B$32)</f>
        <v>0.48252329107938524</v>
      </c>
      <c r="K14" s="21">
        <f>1/(1+Assumptions!$B$26)^(10-0.5*Assumptions!$B$32)</f>
        <v>0.44287905108007014</v>
      </c>
    </row>
    <row r="15" spans="1:11" x14ac:dyDescent="0.25">
      <c r="A15" s="19" t="s">
        <v>58</v>
      </c>
      <c r="B15" s="20">
        <f>B13*B14</f>
        <v>168804546.5054921</v>
      </c>
      <c r="C15" s="20">
        <f>C13*C14</f>
        <v>174797012.1160879</v>
      </c>
      <c r="D15" s="20">
        <f>D13*D14</f>
        <v>175318584.96278736</v>
      </c>
      <c r="E15" s="20">
        <f>E13*E14</f>
        <v>174593325.012606</v>
      </c>
      <c r="F15" s="20">
        <f>F13*F14</f>
        <v>172631290.0894505</v>
      </c>
      <c r="G15" s="20">
        <f>G13*G14</f>
        <v>169466842.35080296</v>
      </c>
      <c r="H15" s="20">
        <f>H13*H14</f>
        <v>165157669.2549293</v>
      </c>
      <c r="I15" s="20">
        <f>I13*I14</f>
        <v>159783165.88273388</v>
      </c>
      <c r="J15" s="20">
        <f>J13*J14</f>
        <v>153442235.93642765</v>
      </c>
      <c r="K15" s="20">
        <f>K13*K14</f>
        <v>146250580.32422382</v>
      </c>
    </row>
    <row r="17" spans="1:2" x14ac:dyDescent="0.25">
      <c r="A17" s="22" t="s">
        <v>59</v>
      </c>
      <c r="B17" s="23">
        <f>SUM(B15:K15)</f>
        <v>1660245252.4355414</v>
      </c>
    </row>
    <row r="19" spans="1:11" x14ac:dyDescent="0.25">
      <c r="A19" t="s">
        <v>7</v>
      </c>
      <c r="B19" s="9">
        <f>Assumptions!$B$10+($B$20-Assumptions!$B$10)*0/9</f>
        <v>0.03530543798476894</v>
      </c>
      <c r="C19" s="9">
        <f>Assumptions!$B$10+($B$20-Assumptions!$B$10)*1/9</f>
        <v>0.03716379386215533</v>
      </c>
      <c r="D19" s="9">
        <f>Assumptions!$B$10+($B$20-Assumptions!$B$10)*2/9</f>
        <v>0.03902214973954171</v>
      </c>
      <c r="E19" s="9">
        <f>Assumptions!$B$10+($B$20-Assumptions!$B$10)*3/9</f>
        <v>0.040880505616928096</v>
      </c>
      <c r="F19" s="9">
        <f>Assumptions!$B$10+($B$20-Assumptions!$B$10)*4/9</f>
        <v>0.04273886149431448</v>
      </c>
      <c r="G19" s="9">
        <f>Assumptions!$B$10+($B$20-Assumptions!$B$10)*5/9</f>
        <v>0.04459721737170086</v>
      </c>
      <c r="H19" s="9">
        <f>Assumptions!$B$10+($B$20-Assumptions!$B$10)*6/9</f>
        <v>0.046455573249087244</v>
      </c>
      <c r="I19" s="9">
        <f>Assumptions!$B$10+($B$20-Assumptions!$B$10)*7/9</f>
        <v>0.04831392912647363</v>
      </c>
      <c r="J19" s="9">
        <f>Assumptions!$B$10+($B$20-Assumptions!$B$10)*8/9</f>
        <v>0.050172285003860013</v>
      </c>
      <c r="K19" s="9">
        <f>Assumptions!$B$10+($B$20-Assumptions!$B$10)*9/9</f>
        <v>0.0520306408812464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0.0520306408812464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330226909.508489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599336796.625063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0.27928335307204916</v>
      </c>
    </row>
    <row r="7" spans="1:2" x14ac:dyDescent="0.25">
      <c r="A7" t="s">
        <v>66</v>
      </c>
      <c r="B7" s="18">
        <f>-MAX(B5,0)*B6</f>
        <v>-167384790.18090838</v>
      </c>
    </row>
    <row r="8" spans="1:2" x14ac:dyDescent="0.25">
      <c r="A8" t="s">
        <v>67</v>
      </c>
      <c r="B8" s="18">
        <f>IF(OR(Assumptions!$B$33=0,Assumptions!B12&lt;=0),B5,MAX(B5+B7,0))</f>
        <v>431952006.44415456</v>
      </c>
    </row>
    <row r="9" spans="1:2" x14ac:dyDescent="0.25">
      <c r="A9" t="s">
        <v>68</v>
      </c>
      <c r="B9" s="18">
        <f>B8*(1+Assumptions!B12)/(Assumptions!B26-Assumptions!B12)</f>
        <v>6862776397.417244</v>
      </c>
    </row>
    <row r="10" spans="1:2" x14ac:dyDescent="0.25">
      <c r="A10" t="s">
        <v>69</v>
      </c>
      <c r="B10" s="18">
        <f>B9/(1+Assumptions!B26)^(10-0.5*Assumptions!B32)</f>
        <v>3039379898.6628513</v>
      </c>
    </row>
    <row r="11" spans="1:2" x14ac:dyDescent="0.25">
      <c r="A11" t="s">
        <v>70</v>
      </c>
      <c r="B11" s="18">
        <f>Forecast!B17+B10</f>
        <v>4699625151.0983925</v>
      </c>
    </row>
    <row r="12" spans="1:2" x14ac:dyDescent="0.25">
      <c r="A12" t="s">
        <v>71</v>
      </c>
      <c r="B12" s="18">
        <f>-Assumptions!B30</f>
        <v>1622000000</v>
      </c>
    </row>
    <row r="13" spans="1:2" x14ac:dyDescent="0.25">
      <c r="A13" t="s">
        <v>72</v>
      </c>
      <c r="B13" s="18">
        <f>B11+B12</f>
        <v>6321625151.0983925</v>
      </c>
    </row>
    <row r="14" spans="1:2" x14ac:dyDescent="0.25">
      <c r="A14" s="19" t="s">
        <v>73</v>
      </c>
      <c r="B14" s="24">
        <f>B13/Assumptions!B31</f>
        <v>23.577860229296885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1564627806.9917798</v>
      </c>
    </row>
    <row r="18" spans="1:2" x14ac:dyDescent="0.25">
      <c r="A18" t="s">
        <v>68</v>
      </c>
      <c r="B18" s="18">
        <f>B17*Assumptions!B13</f>
        <v>31292556139.835594</v>
      </c>
    </row>
    <row r="19" spans="1:2" x14ac:dyDescent="0.25">
      <c r="A19" t="s">
        <v>69</v>
      </c>
      <c r="B19" s="18">
        <f>B18/(1+Assumptions!B26)^(10-0.5*Assumptions!B32)</f>
        <v>13858817569.08021</v>
      </c>
    </row>
    <row r="20" spans="1:2" x14ac:dyDescent="0.25">
      <c r="A20" t="s">
        <v>70</v>
      </c>
      <c r="B20" s="18">
        <f>Forecast!B17+B19</f>
        <v>15519062821.51575</v>
      </c>
    </row>
    <row r="21" spans="1:2" x14ac:dyDescent="0.25">
      <c r="A21" t="s">
        <v>71</v>
      </c>
      <c r="B21" s="18">
        <f>-Assumptions!B30</f>
        <v>1622000000</v>
      </c>
    </row>
    <row r="22" spans="1:2" x14ac:dyDescent="0.25">
      <c r="A22" t="s">
        <v>72</v>
      </c>
      <c r="B22" s="18">
        <f>B20+B21</f>
        <v>17141062821.51575</v>
      </c>
    </row>
    <row r="23" spans="1:2" x14ac:dyDescent="0.25">
      <c r="A23" s="19" t="s">
        <v>73</v>
      </c>
      <c r="B23" s="25">
        <f>B22/Assumptions!B31</f>
        <v>63.93127933519975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197.82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23.577860229296885</v>
      </c>
    </row>
    <row r="29" spans="1:2" x14ac:dyDescent="0.25">
      <c r="A29" s="19" t="s">
        <v>81</v>
      </c>
      <c r="B29" s="11">
        <f>B28/B26-1</f>
        <v>-0.8808115446906436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0.069515</v>
      </c>
      <c r="B5" s="31">
        <v>30.473533195118087</v>
      </c>
      <c r="C5" s="31">
        <v>30.103213374807023</v>
      </c>
      <c r="D5" s="31">
        <v>29.732893554495952</v>
      </c>
      <c r="E5" s="31">
        <v>29.362573734184885</v>
      </c>
      <c r="F5" s="31">
        <v>28.99225391387382</v>
      </c>
    </row>
    <row r="6" spans="1:6" x14ac:dyDescent="0.25">
      <c r="A6" s="30">
        <v>0.079515</v>
      </c>
      <c r="B6" s="31">
        <v>26.86075244601797</v>
      </c>
      <c r="C6" s="31">
        <v>26.554898375117954</v>
      </c>
      <c r="D6" s="31">
        <v>26.249044304217925</v>
      </c>
      <c r="E6" s="31">
        <v>25.94319023331791</v>
      </c>
      <c r="F6" s="31">
        <v>25.63733616241789</v>
      </c>
    </row>
    <row r="7" spans="1:6" x14ac:dyDescent="0.25">
      <c r="A7" s="30">
        <v>0.089515</v>
      </c>
      <c r="B7" s="31">
        <v>24.091599126153376</v>
      </c>
      <c r="C7" s="31">
        <v>23.83470885576568</v>
      </c>
      <c r="D7" s="32">
        <v>23.577818585377976</v>
      </c>
      <c r="E7" s="31">
        <v>23.32092831499027</v>
      </c>
      <c r="F7" s="31">
        <v>23.064038044602565</v>
      </c>
    </row>
    <row r="8" spans="1:6" x14ac:dyDescent="0.25">
      <c r="A8" s="30">
        <v>0.099515</v>
      </c>
      <c r="B8" s="31">
        <v>21.90891752102449</v>
      </c>
      <c r="C8" s="31">
        <v>21.690241789587176</v>
      </c>
      <c r="D8" s="31">
        <v>21.471566058149854</v>
      </c>
      <c r="E8" s="31">
        <v>21.252890326712535</v>
      </c>
      <c r="F8" s="31">
        <v>21.034214595275216</v>
      </c>
    </row>
    <row r="9" spans="1:6" x14ac:dyDescent="0.25">
      <c r="A9" s="30">
        <v>0.109515</v>
      </c>
      <c r="B9" s="31">
        <v>20.149729589792802</v>
      </c>
      <c r="C9" s="31">
        <v>19.961529394430272</v>
      </c>
      <c r="D9" s="31">
        <v>19.773329199067735</v>
      </c>
      <c r="E9" s="31">
        <v>19.585129003705205</v>
      </c>
      <c r="F9" s="31">
        <v>19.396928808342672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9552000000</v>
      </c>
      <c r="C5" s="18">
        <v>8446000000</v>
      </c>
      <c r="D5" s="18">
        <v>7259000000</v>
      </c>
      <c r="E5" s="18">
        <v>6216000000</v>
      </c>
      <c r="F5" s="6" t="s">
        <v>91</v>
      </c>
    </row>
    <row r="6" spans="1:6" x14ac:dyDescent="0.25">
      <c r="A6" t="s">
        <v>51</v>
      </c>
      <c r="B6" s="18">
        <v>1024000000</v>
      </c>
      <c r="C6" s="18">
        <v>499000000</v>
      </c>
      <c r="D6" s="18">
        <v>183000000</v>
      </c>
      <c r="E6" s="18">
        <v>-182000000</v>
      </c>
      <c r="F6" s="6" t="s">
        <v>92</v>
      </c>
    </row>
    <row r="7" spans="1:6" x14ac:dyDescent="0.25">
      <c r="A7" t="s">
        <v>93</v>
      </c>
      <c r="B7" s="18">
        <v>347000000</v>
      </c>
      <c r="C7" s="18">
        <v>326000000</v>
      </c>
      <c r="D7" s="18">
        <v>282000000</v>
      </c>
      <c r="E7" s="18">
        <v>364000000</v>
      </c>
      <c r="F7" s="6" t="s">
        <v>94</v>
      </c>
    </row>
    <row r="8" spans="1:6" x14ac:dyDescent="0.25">
      <c r="A8" t="s">
        <v>95</v>
      </c>
      <c r="B8" s="18">
        <v>162000000</v>
      </c>
      <c r="C8" s="18">
        <v>272000000</v>
      </c>
      <c r="D8" s="18">
        <v>242000000</v>
      </c>
      <c r="E8" s="18">
        <v>365000000</v>
      </c>
      <c r="F8" s="6" t="s">
        <v>96</v>
      </c>
    </row>
    <row r="9" spans="1:6" x14ac:dyDescent="0.25">
      <c r="A9" t="s">
        <v>97</v>
      </c>
      <c r="B9" s="18">
        <v>329000000</v>
      </c>
      <c r="C9" s="18">
        <v>218000000</v>
      </c>
      <c r="D9" s="18">
        <v>34000000</v>
      </c>
      <c r="E9" s="18">
        <v>-48000000</v>
      </c>
      <c r="F9" s="6" t="s">
        <v>98</v>
      </c>
    </row>
    <row r="10" spans="1:6" x14ac:dyDescent="0.25">
      <c r="A10" t="s">
        <v>99</v>
      </c>
      <c r="B10" s="18">
        <v>3821000000</v>
      </c>
      <c r="C10" s="18">
        <v>3362000000</v>
      </c>
      <c r="D10" s="18">
        <v>3296000000</v>
      </c>
      <c r="E10" s="18">
        <v>3249000000</v>
      </c>
      <c r="F10" s="6" t="s">
        <v>100</v>
      </c>
    </row>
    <row r="11" spans="1:6" x14ac:dyDescent="0.25">
      <c r="A11" t="s">
        <v>101</v>
      </c>
      <c r="B11" s="18">
        <v>5443000000</v>
      </c>
      <c r="C11" s="18">
        <v>8017000000</v>
      </c>
      <c r="D11" s="18">
        <v>7813000000</v>
      </c>
      <c r="E11" s="18">
        <v>6121000000</v>
      </c>
      <c r="F11" s="6" t="s">
        <v>102</v>
      </c>
    </row>
    <row r="12" spans="1:6" x14ac:dyDescent="0.25">
      <c r="A12" t="s">
        <v>34</v>
      </c>
      <c r="B12" s="34">
        <v>268117000</v>
      </c>
      <c r="C12" s="34">
        <v>269205000</v>
      </c>
      <c r="D12" s="34">
        <v>265285000</v>
      </c>
      <c r="E12" s="34">
        <v>254819000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