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<sst xmlns="http://schemas.openxmlformats.org/spreadsheetml/2006/main" count="112" uniqueCount="100">
  <si>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Workday, Inc. (WDAY)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</si>
  <si>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</si>
  <si>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</si>
  <si>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</si>
  <si>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</si>
  <si>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</si>
  <si>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</si>
  <si>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</si>
  <si>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</si>
  <si>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</si>
  <si>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</si>
  <si>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</si>
  <si>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</si>
  <si>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</si>
  <si>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</si>
  <si>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</si>
  <si>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</si>
  <si>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</si>
  <si>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</si>
  <si>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</si>
  <si>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</si>
  <si>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</si>
  <si>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</si>
  <si>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</si>
  <si>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</si>
  <si>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</si>
  <si>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</si>
  <si>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</si>
  <si>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</si>
  <si>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</si>
  <si>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</si>
  <si>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</si>
  <si>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</si>
  <si>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</si>
  <si>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</si>
  <si>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</si>
  <si>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</si>
  <si>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</si>
  <si>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</si>
  <si>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</si>
  <si>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</si>
  <si>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</si>
  <si>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</si>
  <si>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</si>
  <si>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</si>
  <si>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</si>
  <si>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</si>
  <si>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</si>
  <si>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</si>
  <si>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</si>
  <si>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</si>
  <si>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</si>
  <si>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</si>
  <si>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</si>
  <si>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</si>
  <si>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</si>
  <si>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</si>
  <si>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</si>
  <si>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</si>
  <si>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</si>
  <si>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</si>
  <si>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</si>
  <si>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</si>
  <si>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</si>
  <si>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</si>
  <si>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</si>
  <si>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</si>
  <si>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</si>
  <si>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</si>
  <si>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</si>
  <si>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</si>
  <si>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</si>
  <si>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</si>
  <si>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</si>
  <si>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</si>
  <si>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</si>
  <si>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</si>
  <si>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</si>
  <si>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</si>
  <si>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</si>
  <si>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</si>
  <si>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</si>
  <si>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</si>
  <si>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</si>
  <si>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</si>
  <si>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</si>
  <si>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</si>
  <si>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</si>
  <si>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</si>
  <si>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</si>
  <si>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</si>
  <si>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</si>
  <si>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</si>
  <si>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</si>
  <si>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</si>
  <si>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</si>
  <si>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</si>
  <si>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</si>
  <si>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32.9x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</si>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</sst>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0.15396978072353007</v>
      </c>
    </row>
    <row r="7" spans="1:2" x14ac:dyDescent="0.25">
      <c r="A7" t="s">
        <v>5</v>
      </c>
      <c r="B7" s="6">
        <v>0.04055367667537895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0.043083127108219724</v>
      </c>
    </row>
    <row r="10" spans="1:2" x14ac:dyDescent="0.25">
      <c r="A10" t="s">
        <v>8</v>
      </c>
      <c r="B10" s="6">
        <v>0.03530543798476894</v>
      </c>
    </row>
    <row r="11" spans="1:2" x14ac:dyDescent="0.25">
      <c r="A11" t="s">
        <v>9</v>
      </c>
      <c r="B11" s="6">
        <v>0.18365627632687448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0.1028219145900057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1.0549400000000002</v>
      </c>
      <c r="C19" s="8" t="s">
        <v>19</v>
      </c>
    </row>
    <row r="20" spans="1:2" x14ac:dyDescent="0.25">
      <c r="A20" t="s">
        <v>20</v>
      </c>
      <c r="B20" s="10">
        <f>B17+B19*B18</f>
        <v>0.1080017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46722670592</v>
      </c>
    </row>
    <row r="23" spans="1:2" x14ac:dyDescent="0.25">
      <c r="A23" t="s">
        <v>24</v>
      </c>
      <c r="B23" s="11">
        <v>3821000000</v>
      </c>
    </row>
    <row r="24" spans="1:2" x14ac:dyDescent="0.25">
      <c r="A24" t="s">
        <v>25</v>
      </c>
      <c r="B24" s="10">
        <f>B22/(B22+B23)</f>
        <v>0.9244020081002035</v>
      </c>
    </row>
    <row r="25" spans="1:2" x14ac:dyDescent="0.25">
      <c r="A25" t="s">
        <v>26</v>
      </c>
      <c r="B25" s="10">
        <f>1-B24</f>
        <v>0.07559799189979655</v>
      </c>
    </row>
    <row r="26" spans="1:2" x14ac:dyDescent="0.25">
      <c r="A26" t="s">
        <v>27</v>
      </c>
      <c r="B26" s="12">
        <f>B24*B20+B25*B21*(1-B8)</f>
        <v>0.1028219145900057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9552000000</v>
      </c>
      <c r="C29" s="8" t="s">
        <v>30</v>
      </c>
    </row>
    <row r="30" spans="1:2" x14ac:dyDescent="0.25">
      <c r="A30" t="s">
        <v>31</v>
      </c>
      <c r="B30" s="11">
        <v>-1622000000</v>
      </c>
    </row>
    <row r="31" spans="1:2" x14ac:dyDescent="0.25">
      <c r="A31" t="s">
        <v>32</v>
      </c>
      <c r="B31" s="13">
        <v>268117000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0.15396978072353007</v>
      </c>
      <c r="C5" s="10">
        <f>Assumptions!B6</f>
        <v>0.15396978072353007</v>
      </c>
      <c r="D5" s="10">
        <f>Assumptions!B6</f>
        <v>0.15396978072353007</v>
      </c>
      <c r="E5" s="10">
        <f>Assumptions!B6</f>
        <v>0.15396978072353007</v>
      </c>
      <c r="F5" s="10">
        <f>Assumptions!B6</f>
        <v>0.15396978072353007</v>
      </c>
    </row>
    <row r="6" spans="1:6" x14ac:dyDescent="0.25">
      <c r="A6" t="s">
        <v>43</v>
      </c>
      <c r="B6" s="18">
        <f>Assumptions!B29*(1+B5)</f>
        <v>11022719345.471159</v>
      </c>
      <c r="C6" s="18">
        <f>B6*(1+C5)</f>
        <v>12719885026.070366</v>
      </c>
      <c r="D6" s="18">
        <f>C6*(1+D5)</f>
        <v>14678362934.362934</v>
      </c>
      <c r="E6" s="18">
        <f>D6*(1+E5)</f>
        <v>16938387256.747187</v>
      </c>
      <c r="F6" s="18">
        <f>E6*(1+F5)</f>
        <v>19546387028.478786</v>
      </c>
    </row>
    <row r="7" spans="1:6" x14ac:dyDescent="0.25">
      <c r="A7" t="s">
        <v>5</v>
      </c>
      <c r="B7" s="10">
        <f>Assumptions!B7</f>
        <v>0.04055367667537895</v>
      </c>
      <c r="C7" s="10">
        <f>Assumptions!B7</f>
        <v>0.04055367667537895</v>
      </c>
      <c r="D7" s="10">
        <f>Assumptions!B7</f>
        <v>0.04055367667537895</v>
      </c>
      <c r="E7" s="10">
        <f>Assumptions!B7</f>
        <v>0.04055367667537895</v>
      </c>
      <c r="F7" s="10">
        <f>Assumptions!B7</f>
        <v>0.04055367667537895</v>
      </c>
    </row>
    <row r="8" spans="1:6" x14ac:dyDescent="0.25">
      <c r="A8" t="s">
        <v>44</v>
      </c>
      <c r="B8" s="18">
        <f>B6*B7</f>
        <v>447011796.4196821</v>
      </c>
      <c r="C8" s="18">
        <f>C6*C7</f>
        <v>515838104.69525176</v>
      </c>
      <c r="D8" s="18">
        <f>D6*D7</f>
        <v>595261584.5640211</v>
      </c>
      <c r="E8" s="18">
        <f>E6*E7</f>
        <v>686913880.2124845</v>
      </c>
      <c r="F8" s="18">
        <f>F6*F7</f>
        <v>792677859.7247498</v>
      </c>
    </row>
    <row r="9" spans="1:6" x14ac:dyDescent="0.25">
      <c r="A9" t="s">
        <v>45</v>
      </c>
      <c r="B9" s="18">
        <f>B8*(1-Assumptions!B8)</f>
        <v>353139319.17154884</v>
      </c>
      <c r="C9" s="18">
        <f>C8*(1-Assumptions!B8)</f>
        <v>407512102.7092489</v>
      </c>
      <c r="D9" s="18">
        <f>D8*(1-Assumptions!B8)</f>
        <v>470256651.8055767</v>
      </c>
      <c r="E9" s="18">
        <f>E8*(1-Assumptions!B8)</f>
        <v>542661965.3678628</v>
      </c>
      <c r="F9" s="18">
        <f>F8*(1-Assumptions!B8)</f>
        <v>626215509.1825523</v>
      </c>
    </row>
    <row r="10" spans="1:6" x14ac:dyDescent="0.25">
      <c r="A10" t="s">
        <v>46</v>
      </c>
      <c r="B10" s="18">
        <f>B6*Assumptions!B9</f>
        <v>474893218.6391665</v>
      </c>
      <c r="C10" s="18">
        <f>C6*Assumptions!B9</f>
        <v>548012423.3801303</v>
      </c>
      <c r="D10" s="18">
        <f>D6*Assumptions!B9</f>
        <v>632389776.0417393</v>
      </c>
      <c r="E10" s="18">
        <f>E6*Assumptions!B9</f>
        <v>729758691.1906883</v>
      </c>
      <c r="F10" s="18">
        <f>F6*Assumptions!B9</f>
        <v>842119476.8544087</v>
      </c>
    </row>
    <row r="11" spans="1:6" x14ac:dyDescent="0.25">
      <c r="A11" t="s">
        <v>47</v>
      </c>
      <c r="B11" s="18">
        <f>-B6*Assumptions!B10</f>
        <v>-389161934.2750449</v>
      </c>
      <c r="C11" s="18">
        <f>-C6*Assumptions!B10</f>
        <v>-449081111.9613184</v>
      </c>
      <c r="D11" s="18">
        <f>-D6*Assumptions!B10</f>
        <v>-518226032.29708165</v>
      </c>
      <c r="E11" s="18">
        <f>-E6*Assumptions!B10</f>
        <v>-598017180.8550884</v>
      </c>
      <c r="F11" s="18">
        <f>-F6*Assumptions!B10</f>
        <v>-690093755.0602499</v>
      </c>
    </row>
    <row r="12" spans="1:6" x14ac:dyDescent="0.25">
      <c r="A12" t="s">
        <v>48</v>
      </c>
      <c r="B12" s="18">
        <f>-(B6-Assumptions!B29)*Assumptions!B11</f>
        <v>-270106838.51113117</v>
      </c>
      <c r="C12" s="18">
        <f>-(C6-B6)*Assumptions!B11</f>
        <v>-311695129.20861596</v>
      </c>
      <c r="D12" s="18">
        <f>-(D6-C6)*Assumptions!B11</f>
        <v>-359686759.90545905</v>
      </c>
      <c r="E12" s="18">
        <f>-(E6-D6)*Assumptions!B11</f>
        <v>-415067651.45725954</v>
      </c>
      <c r="F12" s="18">
        <f>-(F6-E6)*Assumptions!B11</f>
        <v>-478975526.73756427</v>
      </c>
    </row>
    <row r="13" spans="1:6" x14ac:dyDescent="0.25">
      <c r="A13" s="19" t="s">
        <v>49</v>
      </c>
      <c r="B13" s="20">
        <f>B9+B10+B11+B12</f>
        <v>168763765.02453923</v>
      </c>
      <c r="C13" s="20">
        <f>C9+C10+C11+C12</f>
        <v>194748284.91944486</v>
      </c>
      <c r="D13" s="20">
        <f>D9+D10+D11+D12</f>
        <v>224733635.64477527</v>
      </c>
      <c r="E13" s="20">
        <f>E9+E10+E11+E12</f>
        <v>259335824.24620318</v>
      </c>
      <c r="F13" s="20">
        <f>F9+F10+F11+F12</f>
        <v>299265704.2391469</v>
      </c>
    </row>
    <row r="14" spans="1:6" x14ac:dyDescent="0.25">
      <c r="A14" t="s">
        <v>50</v>
      </c>
      <c r="B14" s="21">
        <f>1/(1+Assumptions!$B$26)^(1-0.5*Assumptions!$B$32)</f>
        <v>0.9522419418588774</v>
      </c>
      <c r="C14" s="21">
        <f>1/(1+Assumptions!$B$26)^(2-0.5*Assumptions!$B$32)</f>
        <v>0.8634593938159915</v>
      </c>
      <c r="D14" s="21">
        <f>1/(1+Assumptions!$B$26)^(3-0.5*Assumptions!$B$32)</f>
        <v>0.7829545118687619</v>
      </c>
      <c r="E14" s="21">
        <f>1/(1+Assumptions!$B$26)^(4-0.5*Assumptions!$B$32)</f>
        <v>0.7099555254665388</v>
      </c>
      <c r="F14" s="21">
        <f>1/(1+Assumptions!$B$26)^(5-0.5*Assumptions!$B$32)</f>
        <v>0.6437626203052718</v>
      </c>
    </row>
    <row r="15" spans="1:6" x14ac:dyDescent="0.25">
      <c r="A15" s="19" t="s">
        <v>51</v>
      </c>
      <c r="B15" s="20">
        <f>B13*B14</f>
        <v>160703935.32238254</v>
      </c>
      <c r="C15" s="20">
        <f>C13*C14</f>
        <v>168157236.04324785</v>
      </c>
      <c r="D15" s="20">
        <f>D13*D14</f>
        <v>175956213.9967472</v>
      </c>
      <c r="E15" s="20">
        <f>E13*E14</f>
        <v>184116901.37501115</v>
      </c>
      <c r="F15" s="20">
        <f>F13*F14</f>
        <v>192656073.92849568</v>
      </c>
    </row>
    <row r="17" spans="1:2" x14ac:dyDescent="0.25">
      <c r="A17" s="22" t="s">
        <v>52</v>
      </c>
      <c r="B17" s="23">
        <f>SUM(B15:F15)</f>
        <v>881590360.6658844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299265704.2391469</v>
      </c>
    </row>
    <row r="5" spans="1:2" x14ac:dyDescent="0.25">
      <c r="A5" t="s">
        <v>56</v>
      </c>
      <c r="B5" s="18">
        <f>IF(Assumptions!$B$33=0,B4,B4-Forecast!F11-Forecast!F10-Forecast!F12)</f>
        <v>626215509.1825523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0.24313882988549218</v>
      </c>
    </row>
    <row r="7" spans="1:2" x14ac:dyDescent="0.25">
      <c r="A7" t="s">
        <v>58</v>
      </c>
      <c r="B7" s="18">
        <f>-MAX(Forecast!F9,0)*B6</f>
        <v>-152257306.15879345</v>
      </c>
    </row>
    <row r="8" spans="1:2" x14ac:dyDescent="0.25">
      <c r="A8" t="s">
        <v>59</v>
      </c>
      <c r="B8" s="18">
        <f>IF(OR(Assumptions!$B$33=0,Assumptions!B12&lt;=0),B5,MAX(B5+B7,0))</f>
        <v>473958203.0237589</v>
      </c>
    </row>
    <row r="9" spans="1:2" x14ac:dyDescent="0.25">
      <c r="A9" t="s">
        <v>60</v>
      </c>
      <c r="B9" s="18">
        <f>B8*(1+Assumptions!B12)/(Assumptions!B26-Assumptions!B12)</f>
        <v>6242549552.51053</v>
      </c>
    </row>
    <row r="10" spans="1:2" x14ac:dyDescent="0.25">
      <c r="A10" t="s">
        <v>61</v>
      </c>
      <c r="B10" s="18">
        <f>B9/(1+Assumptions!B26)^(5-0.5*Assumptions!B32)</f>
        <v>4018720057.309681</v>
      </c>
    </row>
    <row r="11" spans="1:2" x14ac:dyDescent="0.25">
      <c r="A11" t="s">
        <v>62</v>
      </c>
      <c r="B11" s="18">
        <f>Forecast!B17+B10</f>
        <v>4900310417.975565</v>
      </c>
    </row>
    <row r="12" spans="1:2" x14ac:dyDescent="0.25">
      <c r="A12" t="s">
        <v>63</v>
      </c>
      <c r="B12" s="18">
        <f>-Assumptions!B30</f>
        <v>1622000000</v>
      </c>
    </row>
    <row r="13" spans="1:2" x14ac:dyDescent="0.25">
      <c r="A13" t="s">
        <v>64</v>
      </c>
      <c r="B13" s="18">
        <f>B11+B12</f>
        <v>6522310417.975565</v>
      </c>
    </row>
    <row r="14" spans="1:2" x14ac:dyDescent="0.25">
      <c r="A14" s="19" t="s">
        <v>65</v>
      </c>
      <c r="B14" s="24">
        <f>B13/Assumptions!B31</f>
        <v>24.326359081951406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1634797336.5791585</v>
      </c>
    </row>
    <row r="18" spans="1:2" x14ac:dyDescent="0.25">
      <c r="A18" t="s">
        <v>60</v>
      </c>
      <c r="B18" s="18">
        <f>B17*Assumptions!B13</f>
        <v>32695946731.58317</v>
      </c>
    </row>
    <row r="19" spans="1:2" x14ac:dyDescent="0.25">
      <c r="A19" t="s">
        <v>61</v>
      </c>
      <c r="B19" s="18">
        <f>B18/(1+Assumptions!B26)^(5-0.5*Assumptions!B32)</f>
        <v>21048428341.28557</v>
      </c>
    </row>
    <row r="20" spans="1:2" x14ac:dyDescent="0.25">
      <c r="A20" t="s">
        <v>62</v>
      </c>
      <c r="B20" s="18">
        <f>Forecast!B17+B19</f>
        <v>21930018701.951454</v>
      </c>
    </row>
    <row r="21" spans="1:2" x14ac:dyDescent="0.25">
      <c r="A21" t="s">
        <v>63</v>
      </c>
      <c r="B21" s="18">
        <f>-Assumptions!B30</f>
        <v>1622000000</v>
      </c>
    </row>
    <row r="22" spans="1:2" x14ac:dyDescent="0.25">
      <c r="A22" t="s">
        <v>64</v>
      </c>
      <c r="B22" s="18">
        <f>B20+B21</f>
        <v>23552018701.951454</v>
      </c>
    </row>
    <row r="23" spans="1:2" x14ac:dyDescent="0.25">
      <c r="A23" s="19" t="s">
        <v>65</v>
      </c>
      <c r="B23" s="25">
        <f>B22/Assumptions!B31</f>
        <v>87.84231772678142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193.87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24.326359081951406</v>
      </c>
    </row>
    <row r="29" spans="1:2" x14ac:dyDescent="0.25">
      <c r="A29" s="19" t="s">
        <v>73</v>
      </c>
      <c r="B29" s="12">
        <f>B28/B26-1</f>
        <v>-0.8745223134989869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0.082822</v>
      </c>
      <c r="B5" s="31">
        <v>29.506907733407818</v>
      </c>
      <c r="C5" s="31">
        <v>29.60547142013892</v>
      </c>
      <c r="D5" s="31">
        <v>29.70403510687002</v>
      </c>
      <c r="E5" s="31">
        <v>29.802598793601117</v>
      </c>
      <c r="F5" s="31">
        <v>29.901162480332218</v>
      </c>
    </row>
    <row r="6" spans="1:6" x14ac:dyDescent="0.25">
      <c r="A6" s="30">
        <v>0.092822</v>
      </c>
      <c r="B6" s="31">
        <v>26.54587049975522</v>
      </c>
      <c r="C6" s="31">
        <v>26.630251781586704</v>
      </c>
      <c r="D6" s="31">
        <v>26.714633063418187</v>
      </c>
      <c r="E6" s="31">
        <v>26.799014345249663</v>
      </c>
      <c r="F6" s="31">
        <v>26.88339562708114</v>
      </c>
    </row>
    <row r="7" spans="1:6" x14ac:dyDescent="0.25">
      <c r="A7" s="30">
        <v>0.102822</v>
      </c>
      <c r="B7" s="31">
        <v>24.180109890952117</v>
      </c>
      <c r="C7" s="31">
        <v>24.253225319510655</v>
      </c>
      <c r="D7" s="32">
        <v>24.326340748069196</v>
      </c>
      <c r="E7" s="31">
        <v>24.399456176627744</v>
      </c>
      <c r="F7" s="31">
        <v>24.472571605186282</v>
      </c>
    </row>
    <row r="8" spans="1:6" x14ac:dyDescent="0.25">
      <c r="A8" s="30">
        <v>0.112822</v>
      </c>
      <c r="B8" s="31">
        <v>22.25035223733672</v>
      </c>
      <c r="C8" s="31">
        <v>22.31433456199553</v>
      </c>
      <c r="D8" s="31">
        <v>22.378316886654336</v>
      </c>
      <c r="E8" s="31">
        <v>22.442299211313145</v>
      </c>
      <c r="F8" s="31">
        <v>22.506281535971954</v>
      </c>
    </row>
    <row r="9" spans="1:6" x14ac:dyDescent="0.25">
      <c r="A9" s="30">
        <v>0.122822</v>
      </c>
      <c r="B9" s="31">
        <v>20.649253741695926</v>
      </c>
      <c r="C9" s="31">
        <v>20.705707673859834</v>
      </c>
      <c r="D9" s="31">
        <v>20.76216160602374</v>
      </c>
      <c r="E9" s="31">
        <v>20.81861553818764</v>
      </c>
      <c r="F9" s="31">
        <v>20.87506947035154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9552000000</v>
      </c>
      <c r="C5" s="18">
        <v>8446000000</v>
      </c>
      <c r="D5" s="18">
        <v>7259000000</v>
      </c>
      <c r="E5" s="18">
        <v>6216000000</v>
      </c>
      <c r="F5" s="8" t="s">
        <v>84</v>
      </c>
    </row>
    <row r="6" spans="1:6" x14ac:dyDescent="0.25">
      <c r="A6" t="s">
        <v>44</v>
      </c>
      <c r="B6" s="18">
        <v>1024000000</v>
      </c>
      <c r="C6" s="18">
        <v>499000000</v>
      </c>
      <c r="D6" s="18">
        <v>183000000</v>
      </c>
      <c r="E6" s="18">
        <v>-182000000</v>
      </c>
      <c r="F6" s="8" t="s">
        <v>85</v>
      </c>
    </row>
    <row r="7" spans="1:6" x14ac:dyDescent="0.25">
      <c r="A7" t="s">
        <v>86</v>
      </c>
      <c r="B7" s="18">
        <v>347000000</v>
      </c>
      <c r="C7" s="18">
        <v>326000000</v>
      </c>
      <c r="D7" s="18">
        <v>282000000</v>
      </c>
      <c r="E7" s="18">
        <v>364000000</v>
      </c>
      <c r="F7" s="8" t="s">
        <v>87</v>
      </c>
    </row>
    <row r="8" spans="1:6" x14ac:dyDescent="0.25">
      <c r="A8" t="s">
        <v>88</v>
      </c>
      <c r="B8" s="18">
        <v>162000000</v>
      </c>
      <c r="C8" s="18">
        <v>272000000</v>
      </c>
      <c r="D8" s="18">
        <v>242000000</v>
      </c>
      <c r="E8" s="18">
        <v>365000000</v>
      </c>
      <c r="F8" s="8" t="s">
        <v>89</v>
      </c>
    </row>
    <row r="9" spans="1:6" x14ac:dyDescent="0.25">
      <c r="A9" t="s">
        <v>90</v>
      </c>
      <c r="B9" s="18">
        <v>329000000</v>
      </c>
      <c r="C9" s="18">
        <v>218000000</v>
      </c>
      <c r="D9" s="18">
        <v>34000000</v>
      </c>
      <c r="E9" s="18">
        <v>-48000000</v>
      </c>
      <c r="F9" s="8" t="s">
        <v>91</v>
      </c>
    </row>
    <row r="10" spans="1:6" x14ac:dyDescent="0.25">
      <c r="A10" t="s">
        <v>92</v>
      </c>
      <c r="B10" s="18">
        <v>3821000000</v>
      </c>
      <c r="C10" s="18">
        <v>3362000000</v>
      </c>
      <c r="D10" s="18">
        <v>3296000000</v>
      </c>
      <c r="E10" s="18">
        <v>3249000000</v>
      </c>
      <c r="F10" s="8" t="s">
        <v>93</v>
      </c>
    </row>
    <row r="11" spans="1:6" x14ac:dyDescent="0.25">
      <c r="A11" t="s">
        <v>94</v>
      </c>
      <c r="B11" s="18">
        <v>5443000000</v>
      </c>
      <c r="C11" s="18">
        <v>8017000000</v>
      </c>
      <c r="D11" s="18">
        <v>7813000000</v>
      </c>
      <c r="E11" s="18">
        <v>6121000000</v>
      </c>
      <c r="F11" s="8" t="s">
        <v>95</v>
      </c>
    </row>
    <row r="12" spans="1:6" x14ac:dyDescent="0.25">
      <c r="A12" t="s">
        <v>32</v>
      </c>
      <c r="B12" s="34">
        <v>268117000</v>
      </c>
      <c r="C12" s="34">
        <v>269205000</v>
      </c>
      <c r="D12" s="34">
        <v>265285000</v>
      </c>
      <c r="E12" s="34">
        <v>254819000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