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<sst xmlns="http://schemas.openxmlformats.org/spreadsheetml/2006/main" count="120" uniqueCount="107">
  <si>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Western Digital Corporation (WDC)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</si>
  <si>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</si>
  <si>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</si>
  <si>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</si>
  <si>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</si>
  <si>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</si>
  <si>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</si>
  <si>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</si>
  <si>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</si>
  <si>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</si>
  <si>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</si>
  <si>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</si>
  <si>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</si>
  <si>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</si>
  <si>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</si>
  <si>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</si>
  <si>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</si>
  <si>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</si>
  <si>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</si>
  <si>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</si>
  <si>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</si>
  <si>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</si>
  <si>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</si>
  <si>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</si>
  <si>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</si>
  <si>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</si>
  <si>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</si>
  <si>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</si>
  <si>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</si>
  <si>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</si>
  <si>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</si>
  <si>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</si>
  <si>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</si>
  <si>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</si>
  <si>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</si>
  <si>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</si>
  <si>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</si>
  <si>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</si>
  <si>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</si>
  <si>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</si>
  <si>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</si>
  <si>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</si>
  <si>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</si>
  <si>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</si>
  <si>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</si>
  <si>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</si>
  <si>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</si>
  <si>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</si>
  <si>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</si>
  <si>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</si>
  <si>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</si>
  <si>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</si>
  <si>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</si>
  <si>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</si>
  <si>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</si>
  <si>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</si>
  <si>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</si>
  <si>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</si>
  <si>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</si>
  <si>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</si>
  <si>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</si>
  <si>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</si>
  <si>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</si>
  <si>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</si>
  <si>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</si>
  <si>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</si>
  <si>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</si>
  <si>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</si>
  <si>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</si>
  <si>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</si>
  <si>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</si>
  <si>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</si>
  <si>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</si>
  <si>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</si>
  <si>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</si>
  <si>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</si>
  <si>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</si>
  <si>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</si>
  <si>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</si>
  <si>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</si>
  <si>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</si>
  <si>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</si>
  <si>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</si>
  <si>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</si>
  <si>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</si>
  <si>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</si>
  <si>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</si>
  <si>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</si>
  <si>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</si>
  <si>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</si>
  <si>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</si>
  <si>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</si>
  <si>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</si>
  <si>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</si>
  <si>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</si>
  <si>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</si>
  <si>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</si>
  <si>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</si>
  <si>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</si>
  <si>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</si>
  <si>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</si>
  <si>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</si>
  <si>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</si>
  <si>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</si>
  <si>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</si>
  <si>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27.4x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</si>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</sst>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0.13270340160057575</v>
      </c>
    </row>
    <row r="8" spans="1:2" x14ac:dyDescent="0.25">
      <c r="A8" t="s">
        <v>5</v>
      </c>
      <c r="B8" s="5">
        <v>0.04856133266027259</v>
      </c>
    </row>
    <row r="9" spans="1:2" x14ac:dyDescent="0.25">
      <c r="A9" t="s">
        <v>6</v>
      </c>
      <c r="B9" s="5">
        <v>0.07467279104708496</v>
      </c>
    </row>
    <row r="10" spans="1:3" x14ac:dyDescent="0.25">
      <c r="A10" t="s">
        <v>7</v>
      </c>
      <c r="B10" s="5">
        <v>0.07099532736592781</v>
      </c>
      <c r="C10" s="6" t="s">
        <v>8</v>
      </c>
    </row>
    <row r="11" spans="1:2" x14ac:dyDescent="0.25">
      <c r="A11" t="s">
        <v>9</v>
      </c>
      <c r="B11" s="5">
        <v>0.20315218338403906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0.20221157068784865</v>
      </c>
      <c r="C14" s="6" t="s">
        <v>13</v>
      </c>
    </row>
    <row r="15" spans="1:3" x14ac:dyDescent="0.25">
      <c r="A15" t="s">
        <v>14</v>
      </c>
      <c r="B15" s="5">
        <v>0.07467279104708496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1.78323</v>
      </c>
      <c r="C19" s="6" t="s">
        <v>21</v>
      </c>
    </row>
    <row r="20" spans="1:2" x14ac:dyDescent="0.25">
      <c r="A20" t="s">
        <v>22</v>
      </c>
      <c r="B20" s="9">
        <f>B17+B19*B18</f>
        <v>0.12437062900000001</v>
      </c>
    </row>
    <row r="21" spans="1:3" x14ac:dyDescent="0.25">
      <c r="A21" t="s">
        <v>23</v>
      </c>
      <c r="B21" s="5">
        <v>0.05726184279021343</v>
      </c>
      <c r="C21" s="6" t="s">
        <v>24</v>
      </c>
    </row>
    <row r="22" spans="1:2" x14ac:dyDescent="0.25">
      <c r="A22" t="s">
        <v>25</v>
      </c>
      <c r="B22" s="10">
        <v>137043484672</v>
      </c>
    </row>
    <row r="23" spans="1:2" x14ac:dyDescent="0.25">
      <c r="A23" t="s">
        <v>26</v>
      </c>
      <c r="B23" s="10">
        <v>1052000000</v>
      </c>
    </row>
    <row r="24" spans="1:2" x14ac:dyDescent="0.25">
      <c r="A24" t="s">
        <v>27</v>
      </c>
      <c r="B24" s="9">
        <f>B22/(B22+B23)</f>
        <v>0.9923820825677344</v>
      </c>
    </row>
    <row r="25" spans="1:2" x14ac:dyDescent="0.25">
      <c r="A25" t="s">
        <v>28</v>
      </c>
      <c r="B25" s="9">
        <f>1-B24</f>
        <v>0.007617917432265586</v>
      </c>
    </row>
    <row r="26" spans="1:2" x14ac:dyDescent="0.25">
      <c r="A26" t="s">
        <v>29</v>
      </c>
      <c r="B26" s="11">
        <f>B24*B20+B25*B21*(1-B8)</f>
        <v>0.12383821657785297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12919000000</v>
      </c>
      <c r="C29" s="6" t="s">
        <v>32</v>
      </c>
    </row>
    <row r="30" spans="1:2" x14ac:dyDescent="0.25">
      <c r="A30" t="s">
        <v>33</v>
      </c>
      <c r="B30" s="10">
        <v>-527000000</v>
      </c>
    </row>
    <row r="31" spans="1:2" x14ac:dyDescent="0.25">
      <c r="A31" t="s">
        <v>34</v>
      </c>
      <c r="B31" s="12">
        <v>383000000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0.40493572103814657</v>
      </c>
      <c r="D5" s="5">
        <v>0.35744375590837824</v>
      </c>
      <c r="E5" s="5">
        <v>0.3099517907786099</v>
      </c>
      <c r="F5" s="5">
        <v>0.2624598256488416</v>
      </c>
      <c r="G5" s="5">
        <v>0.2149678605190733</v>
      </c>
      <c r="H5" s="5">
        <v>0.16747589538930496</v>
      </c>
      <c r="I5" s="5">
        <v>0.11998393025953669</v>
      </c>
      <c r="J5" s="5">
        <v>0.07249196512976835</v>
      </c>
      <c r="K5" s="5">
        <v>0.025000000000000022</v>
      </c>
    </row>
    <row r="6" spans="1:11" x14ac:dyDescent="0.25">
      <c r="A6" t="s">
        <v>50</v>
      </c>
      <c r="B6" s="18">
        <f>Assumptions!B29*(1+B5)</f>
        <v>19378500000</v>
      </c>
      <c r="C6" s="18">
        <f>B6*(1+C5)</f>
        <v>27225546870.137722</v>
      </c>
      <c r="D6" s="18">
        <f>C6*(1+D5)</f>
        <v>36957148600.05934</v>
      </c>
      <c r="E6" s="18">
        <f>D6*(1+E5)</f>
        <v>48412082990.71893</v>
      </c>
      <c r="F6" s="18">
        <f>E6*(1+F5)</f>
        <v>61118309851.76027</v>
      </c>
      <c r="G6" s="18">
        <f>F6*(1+G5)</f>
        <v>74256782159.13496</v>
      </c>
      <c r="H6" s="18">
        <f>G6*(1+H5)</f>
        <v>86693003239.96466</v>
      </c>
      <c r="I6" s="18">
        <f>H6*(1+I5)</f>
        <v>97094770494.69836</v>
      </c>
      <c r="J6" s="18">
        <f>I6*(1+J5)</f>
        <v>104133361211.6829</v>
      </c>
      <c r="K6" s="18">
        <f>J6*(1+K5)</f>
        <v>106736695241.97498</v>
      </c>
    </row>
    <row r="7" spans="1:11" x14ac:dyDescent="0.25">
      <c r="A7" t="s">
        <v>4</v>
      </c>
      <c r="B7" s="9">
        <f>Assumptions!B7</f>
        <v>0.13270340160057575</v>
      </c>
      <c r="C7" s="9">
        <f>Assumptions!B7</f>
        <v>0.13270340160057575</v>
      </c>
      <c r="D7" s="9">
        <f>Assumptions!B7</f>
        <v>0.13270340160057575</v>
      </c>
      <c r="E7" s="9">
        <f>Assumptions!B7</f>
        <v>0.13270340160057575</v>
      </c>
      <c r="F7" s="9">
        <f>Assumptions!B7</f>
        <v>0.13270340160057575</v>
      </c>
      <c r="G7" s="9">
        <f>Assumptions!B7</f>
        <v>0.13270340160057575</v>
      </c>
      <c r="H7" s="9">
        <f>Assumptions!B7</f>
        <v>0.13270340160057575</v>
      </c>
      <c r="I7" s="9">
        <f>Assumptions!B7</f>
        <v>0.13270340160057575</v>
      </c>
      <c r="J7" s="9">
        <f>Assumptions!B7</f>
        <v>0.13270340160057575</v>
      </c>
      <c r="K7" s="9">
        <f>Assumptions!B7</f>
        <v>0.13270340160057575</v>
      </c>
    </row>
    <row r="8" spans="1:11" x14ac:dyDescent="0.25">
      <c r="A8" t="s">
        <v>51</v>
      </c>
      <c r="B8" s="18">
        <f>B6*B7</f>
        <v>2571592867.916757</v>
      </c>
      <c r="C8" s="18">
        <f>C6*C7</f>
        <v>3612922680.103184</v>
      </c>
      <c r="D8" s="18">
        <f>D6*D7</f>
        <v>4904339332.685831</v>
      </c>
      <c r="E8" s="18">
        <f>E6*E7</f>
        <v>6424448091.4377775</v>
      </c>
      <c r="F8" s="18">
        <f>F6*F7</f>
        <v>8110607617.406569</v>
      </c>
      <c r="G8" s="18">
        <f>G6*G7</f>
        <v>9854127584.430157</v>
      </c>
      <c r="H8" s="18">
        <f>H6*H7</f>
        <v>11504456424.913046</v>
      </c>
      <c r="I8" s="18">
        <f>I6*I7</f>
        <v>12884806322.273691</v>
      </c>
      <c r="J8" s="18">
        <f>J6*J7</f>
        <v>13818851252.891775</v>
      </c>
      <c r="K8" s="18">
        <f>K6*K7</f>
        <v>14164322534.21407</v>
      </c>
    </row>
    <row r="9" spans="1:11" x14ac:dyDescent="0.25">
      <c r="A9" t="s">
        <v>52</v>
      </c>
      <c r="B9" s="18">
        <f>B8*(1-Assumptions!B8)</f>
        <v>2446712891.1910667</v>
      </c>
      <c r="C9" s="18">
        <f>C8*(1-Assumptions!B8)</f>
        <v>3437474339.95885</v>
      </c>
      <c r="D9" s="18">
        <f>D8*(1-Assumptions!B8)</f>
        <v>4666178078.872415</v>
      </c>
      <c r="E9" s="18">
        <f>E8*(1-Assumptions!B8)</f>
        <v>6112468330.510814</v>
      </c>
      <c r="F9" s="18">
        <f>F8*(1-Assumptions!B8)</f>
        <v>7716745702.820747</v>
      </c>
      <c r="G9" s="18">
        <f>G8*(1-Assumptions!B8)</f>
        <v>9375598016.725876</v>
      </c>
      <c r="H9" s="18">
        <f>H8*(1-Assumptions!B8)</f>
        <v>10945784689.387232</v>
      </c>
      <c r="I9" s="18">
        <f>I8*(1-Assumptions!B8)</f>
        <v>12259102956.194574</v>
      </c>
      <c r="J9" s="18">
        <f>J8*(1-Assumptions!B8)</f>
        <v>13147789420.217272</v>
      </c>
      <c r="K9" s="18">
        <f>K8*(1-Assumptions!B8)</f>
        <v>13476484155.722704</v>
      </c>
    </row>
    <row r="10" spans="1:11" x14ac:dyDescent="0.25">
      <c r="A10" t="s">
        <v>53</v>
      </c>
      <c r="B10" s="18">
        <f>B6*Assumptions!B9</f>
        <v>1447046681.3059359</v>
      </c>
      <c r="C10" s="18">
        <f>C6*Assumptions!B9</f>
        <v>2033007572.5764122</v>
      </c>
      <c r="D10" s="18">
        <f>D6*Assumptions!B9</f>
        <v>2759693435.1082997</v>
      </c>
      <c r="E10" s="18">
        <f>E6*Assumptions!B9</f>
        <v>3615065357.320091</v>
      </c>
      <c r="F10" s="18">
        <f>F6*Assumptions!B9</f>
        <v>4563874780.711489</v>
      </c>
      <c r="G10" s="18">
        <f>G6*Assumptions!B9</f>
        <v>5544961177.997992</v>
      </c>
      <c r="H10" s="18">
        <f>H6*Assumptions!B9</f>
        <v>6473608516.18214</v>
      </c>
      <c r="I10" s="18">
        <f>I6*Assumptions!B9</f>
        <v>7250337508.915281</v>
      </c>
      <c r="J10" s="18">
        <f>J6*Assumptions!B9</f>
        <v>7775928722.79062</v>
      </c>
      <c r="K10" s="18">
        <f>K6*Assumptions!B9</f>
        <v>7970326940.860385</v>
      </c>
    </row>
    <row r="11" spans="1:11" x14ac:dyDescent="0.25">
      <c r="A11" t="s">
        <v>54</v>
      </c>
      <c r="B11" s="18">
        <f>-B6*B19</f>
        <v>-1375782951.3606322</v>
      </c>
      <c r="C11" s="18">
        <f>-C6*C19</f>
        <v>-1991231705.1929758</v>
      </c>
      <c r="D11" s="18">
        <f>-D6*D19</f>
        <v>-2782185226.189542</v>
      </c>
      <c r="E11" s="18">
        <f>-E6*E19</f>
        <v>-3748276938.790895</v>
      </c>
      <c r="F11" s="18">
        <f>-F6*F19</f>
        <v>-4863027262.1800585</v>
      </c>
      <c r="G11" s="18">
        <f>-G6*G19</f>
        <v>-6067556145.838995</v>
      </c>
      <c r="H11" s="18">
        <f>-H6*H19</f>
        <v>-7269511023.954567</v>
      </c>
      <c r="I11" s="18">
        <f>-I6*I19</f>
        <v>-8349812279.487486</v>
      </c>
      <c r="J11" s="18">
        <f>-J6*J19</f>
        <v>-9178267224.54283</v>
      </c>
      <c r="K11" s="18">
        <f>-K6*K19</f>
        <v>-9636463565.718288</v>
      </c>
    </row>
    <row r="12" spans="1:11" x14ac:dyDescent="0.25">
      <c r="A12" t="s">
        <v>55</v>
      </c>
      <c r="B12" s="18">
        <f>-(B6-Assumptions!B29)*Assumptions!B11</f>
        <v>-1312261528.5692003</v>
      </c>
      <c r="C12" s="18">
        <f>-(C6-B6)*Assumptions!B11</f>
        <v>-1594144704.7853682</v>
      </c>
      <c r="D12" s="18">
        <f>-(D6-C6)*Assumptions!B11</f>
        <v>-1976996139.2574687</v>
      </c>
      <c r="E12" s="18">
        <f>-(E6-D6)*Assumptions!B11</f>
        <v>-2327094931.983413</v>
      </c>
      <c r="F12" s="18">
        <f>-(F6-E6)*Assumptions!B11</f>
        <v>-2581297729.3934727</v>
      </c>
      <c r="G12" s="18">
        <f>-(G6-F6)*Assumptions!B11</f>
        <v>-2669109335.573903</v>
      </c>
      <c r="H12" s="18">
        <f>-(H6-G6)*Assumptions!B11</f>
        <v>-2526445465.617167</v>
      </c>
      <c r="I12" s="18">
        <f>-(I6-H6)*Assumptions!B11</f>
        <v>-2113141728.851754</v>
      </c>
      <c r="J12" s="18">
        <f>-(J6-I6)*Assumptions!B11</f>
        <v>-1429905072.1020389</v>
      </c>
      <c r="K12" s="18">
        <f>-(K6-J6)*Assumptions!B11</f>
        <v>-528872992.3318038</v>
      </c>
    </row>
    <row r="13" spans="1:11" x14ac:dyDescent="0.25">
      <c r="A13" s="19" t="s">
        <v>56</v>
      </c>
      <c r="B13" s="20">
        <f>B9+B10+B11+B12</f>
        <v>1205715092.5671704</v>
      </c>
      <c r="C13" s="20">
        <f>C9+C10+C11+C12</f>
        <v>1885105502.556918</v>
      </c>
      <c r="D13" s="20">
        <f>D9+D10+D11+D12</f>
        <v>2666690148.5337043</v>
      </c>
      <c r="E13" s="20">
        <f>E9+E10+E11+E12</f>
        <v>3652161817.0565953</v>
      </c>
      <c r="F13" s="20">
        <f>F9+F10+F11+F12</f>
        <v>4836295491.958705</v>
      </c>
      <c r="G13" s="20">
        <f>G9+G10+G11+G12</f>
        <v>6183893713.310969</v>
      </c>
      <c r="H13" s="20">
        <f>H9+H10+H11+H12</f>
        <v>7623436715.997641</v>
      </c>
      <c r="I13" s="20">
        <f>I9+I10+I11+I12</f>
        <v>9046486456.770617</v>
      </c>
      <c r="J13" s="20">
        <f>J9+J10+J11+J12</f>
        <v>10315545846.363024</v>
      </c>
      <c r="K13" s="20">
        <f>K9+K10+K11+K12</f>
        <v>11281474538.532995</v>
      </c>
    </row>
    <row r="14" spans="1:11" x14ac:dyDescent="0.25">
      <c r="A14" t="s">
        <v>57</v>
      </c>
      <c r="B14" s="21">
        <f>1/(1+Assumptions!$B$26)^(1-0.5*Assumptions!$B$32)</f>
        <v>0.9432962366979197</v>
      </c>
      <c r="C14" s="21">
        <f>1/(1+Assumptions!$B$26)^(2-0.5*Assumptions!$B$32)</f>
        <v>0.8393523398503986</v>
      </c>
      <c r="D14" s="21">
        <f>1/(1+Assumptions!$B$26)^(3-0.5*Assumptions!$B$32)</f>
        <v>0.7468622506950076</v>
      </c>
      <c r="E14" s="21">
        <f>1/(1+Assumptions!$B$26)^(4-0.5*Assumptions!$B$32)</f>
        <v>0.6645638488511655</v>
      </c>
      <c r="F14" s="21">
        <f>1/(1+Assumptions!$B$26)^(5-0.5*Assumptions!$B$32)</f>
        <v>0.5913340897721006</v>
      </c>
      <c r="G14" s="21">
        <f>1/(1+Assumptions!$B$26)^(6-0.5*Assumptions!$B$32)</f>
        <v>0.5261736796713893</v>
      </c>
      <c r="H14" s="21">
        <f>1/(1+Assumptions!$B$26)^(7-0.5*Assumptions!$B$32)</f>
        <v>0.46819343915320494</v>
      </c>
      <c r="I14" s="21">
        <f>1/(1+Assumptions!$B$26)^(8-0.5*Assumptions!$B$32)</f>
        <v>0.4166021694642836</v>
      </c>
      <c r="J14" s="21">
        <f>1/(1+Assumptions!$B$26)^(9-0.5*Assumptions!$B$32)</f>
        <v>0.37069585579039954</v>
      </c>
      <c r="K14" s="21">
        <f>1/(1+Assumptions!$B$26)^(10-0.5*Assumptions!$B$32)</f>
        <v>0.3298480602654607</v>
      </c>
    </row>
    <row r="15" spans="1:11" x14ac:dyDescent="0.25">
      <c r="A15" s="19" t="s">
        <v>58</v>
      </c>
      <c r="B15" s="20">
        <f>B13*B14</f>
        <v>1137346509.3484957</v>
      </c>
      <c r="C15" s="20">
        <f>C13*C14</f>
        <v>1582267714.4360106</v>
      </c>
      <c r="D15" s="20">
        <f>D13*D14</f>
        <v>1991650206.2400863</v>
      </c>
      <c r="E15" s="20">
        <f>E13*E14</f>
        <v>2427094713.770397</v>
      </c>
      <c r="F15" s="20">
        <f>F13*F14</f>
        <v>2859866392.606314</v>
      </c>
      <c r="G15" s="20">
        <f>G13*G14</f>
        <v>3253802109.829604</v>
      </c>
      <c r="H15" s="20">
        <f>H13*H14</f>
        <v>3569243054.2297497</v>
      </c>
      <c r="I15" s="20">
        <f>I13*I14</f>
        <v>3768785883.9198985</v>
      </c>
      <c r="J15" s="20">
        <f>J13*J14</f>
        <v>3823930095.4626427</v>
      </c>
      <c r="K15" s="20">
        <f>K13*K14</f>
        <v>3721172493.469292</v>
      </c>
    </row>
    <row r="17" spans="1:2" x14ac:dyDescent="0.25">
      <c r="A17" s="22" t="s">
        <v>59</v>
      </c>
      <c r="B17" s="23">
        <f>SUM(B15:K15)</f>
        <v>28135159173.31249</v>
      </c>
    </row>
    <row r="19" spans="1:11" x14ac:dyDescent="0.25">
      <c r="A19" t="s">
        <v>7</v>
      </c>
      <c r="B19" s="9">
        <f>Assumptions!$B$10+($B$20-Assumptions!$B$10)*0/9</f>
        <v>0.07099532736592781</v>
      </c>
      <c r="C19" s="9">
        <f>Assumptions!$B$10+($B$20-Assumptions!$B$10)*1/9</f>
        <v>0.07313835474787299</v>
      </c>
      <c r="D19" s="9">
        <f>Assumptions!$B$10+($B$20-Assumptions!$B$10)*2/9</f>
        <v>0.07528138212981816</v>
      </c>
      <c r="E19" s="9">
        <f>Assumptions!$B$10+($B$20-Assumptions!$B$10)*3/9</f>
        <v>0.07742440951176334</v>
      </c>
      <c r="F19" s="9">
        <f>Assumptions!$B$10+($B$20-Assumptions!$B$10)*4/9</f>
        <v>0.07956743689370852</v>
      </c>
      <c r="G19" s="9">
        <f>Assumptions!$B$10+($B$20-Assumptions!$B$10)*5/9</f>
        <v>0.08171046427565368</v>
      </c>
      <c r="H19" s="9">
        <f>Assumptions!$B$10+($B$20-Assumptions!$B$10)*6/9</f>
        <v>0.08385349165759885</v>
      </c>
      <c r="I19" s="9">
        <f>Assumptions!$B$10+($B$20-Assumptions!$B$10)*7/9</f>
        <v>0.08599651903954403</v>
      </c>
      <c r="J19" s="9">
        <f>Assumptions!$B$10+($B$20-Assumptions!$B$10)*8/9</f>
        <v>0.0881395464214892</v>
      </c>
      <c r="K19" s="9">
        <f>Assumptions!$B$10+($B$20-Assumptions!$B$10)*9/9</f>
        <v>0.09028257380343438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0.09028257380343438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11281474538.532995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13476484155.722704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0.12363288566999053</v>
      </c>
    </row>
    <row r="7" spans="1:2" x14ac:dyDescent="0.25">
      <c r="A7" t="s">
        <v>66</v>
      </c>
      <c r="B7" s="18">
        <f>-MAX(B5,0)*B6</f>
        <v>-1666136624.857904</v>
      </c>
    </row>
    <row r="8" spans="1:2" x14ac:dyDescent="0.25">
      <c r="A8" t="s">
        <v>67</v>
      </c>
      <c r="B8" s="18">
        <f>IF(OR(Assumptions!$B$33=0,Assumptions!B12&lt;=0),B5,MAX(B5+B7,0))</f>
        <v>11810347530.8648</v>
      </c>
    </row>
    <row r="9" spans="1:2" x14ac:dyDescent="0.25">
      <c r="A9" t="s">
        <v>68</v>
      </c>
      <c r="B9" s="18">
        <f>B8*(1+Assumptions!B12)/(Assumptions!B26-Assumptions!B12)</f>
        <v>122479002943.1689</v>
      </c>
    </row>
    <row r="10" spans="1:2" x14ac:dyDescent="0.25">
      <c r="A10" t="s">
        <v>69</v>
      </c>
      <c r="B10" s="18">
        <f>B9/(1+Assumptions!B26)^(10-0.5*Assumptions!B32)</f>
        <v>40399461544.05192</v>
      </c>
    </row>
    <row r="11" spans="1:2" x14ac:dyDescent="0.25">
      <c r="A11" t="s">
        <v>70</v>
      </c>
      <c r="B11" s="18">
        <f>Forecast!B17+B10</f>
        <v>68534620717.36441</v>
      </c>
    </row>
    <row r="12" spans="1:2" x14ac:dyDescent="0.25">
      <c r="A12" t="s">
        <v>71</v>
      </c>
      <c r="B12" s="18">
        <f>-Assumptions!B30</f>
        <v>527000000</v>
      </c>
    </row>
    <row r="13" spans="1:2" x14ac:dyDescent="0.25">
      <c r="A13" t="s">
        <v>72</v>
      </c>
      <c r="B13" s="18">
        <f>B11+B12</f>
        <v>69061620717.36441</v>
      </c>
    </row>
    <row r="14" spans="1:2" x14ac:dyDescent="0.25">
      <c r="A14" s="19" t="s">
        <v>73</v>
      </c>
      <c r="B14" s="24">
        <f>B13/Assumptions!B31</f>
        <v>180.31754756492012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22134649475.074455</v>
      </c>
    </row>
    <row r="18" spans="1:2" x14ac:dyDescent="0.25">
      <c r="A18" t="s">
        <v>68</v>
      </c>
      <c r="B18" s="18">
        <f>B17*Assumptions!B13</f>
        <v>442692989501.48914</v>
      </c>
    </row>
    <row r="19" spans="1:2" x14ac:dyDescent="0.25">
      <c r="A19" t="s">
        <v>69</v>
      </c>
      <c r="B19" s="18">
        <f>B18/(1+Assumptions!B26)^(10-0.5*Assumptions!B32)</f>
        <v>146021423880.18414</v>
      </c>
    </row>
    <row r="20" spans="1:2" x14ac:dyDescent="0.25">
      <c r="A20" t="s">
        <v>70</v>
      </c>
      <c r="B20" s="18">
        <f>Forecast!B17+B19</f>
        <v>174156583053.49664</v>
      </c>
    </row>
    <row r="21" spans="1:2" x14ac:dyDescent="0.25">
      <c r="A21" t="s">
        <v>71</v>
      </c>
      <c r="B21" s="18">
        <f>-Assumptions!B30</f>
        <v>527000000</v>
      </c>
    </row>
    <row r="22" spans="1:2" x14ac:dyDescent="0.25">
      <c r="A22" t="s">
        <v>72</v>
      </c>
      <c r="B22" s="18">
        <f>B20+B21</f>
        <v>174683583053.49664</v>
      </c>
    </row>
    <row r="23" spans="1:2" x14ac:dyDescent="0.25">
      <c r="A23" s="19" t="s">
        <v>73</v>
      </c>
      <c r="B23" s="25">
        <f>B22/Assumptions!B31</f>
        <v>456.09290614489987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366.11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180.31754756492012</v>
      </c>
    </row>
    <row r="29" spans="1:2" x14ac:dyDescent="0.25">
      <c r="A29" s="19" t="s">
        <v>81</v>
      </c>
      <c r="B29" s="11">
        <f>B28/B26-1</f>
        <v>-0.5074771310127555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0.103838</v>
      </c>
      <c r="B5" s="31">
        <v>232.18742344427403</v>
      </c>
      <c r="C5" s="31">
        <v>235.77873685610425</v>
      </c>
      <c r="D5" s="31">
        <v>239.99948338828892</v>
      </c>
      <c r="E5" s="31">
        <v>244.9775307621277</v>
      </c>
      <c r="F5" s="31">
        <v>250.87789702905755</v>
      </c>
    </row>
    <row r="6" spans="1:6" x14ac:dyDescent="0.25">
      <c r="A6" s="30">
        <v>0.113838</v>
      </c>
      <c r="B6" s="31">
        <v>202.18660212681624</v>
      </c>
      <c r="C6" s="31">
        <v>204.20807006704962</v>
      </c>
      <c r="D6" s="31">
        <v>206.60276712089754</v>
      </c>
      <c r="E6" s="31">
        <v>209.43747012826816</v>
      </c>
      <c r="F6" s="31">
        <v>212.79589619643014</v>
      </c>
    </row>
    <row r="7" spans="1:6" x14ac:dyDescent="0.25">
      <c r="A7" s="30">
        <v>0.123838</v>
      </c>
      <c r="B7" s="31">
        <v>178.06391085567088</v>
      </c>
      <c r="C7" s="31">
        <v>179.0778372520244</v>
      </c>
      <c r="D7" s="32">
        <v>180.31805559196465</v>
      </c>
      <c r="E7" s="31">
        <v>181.82073863230445</v>
      </c>
      <c r="F7" s="31">
        <v>183.63020266231183</v>
      </c>
    </row>
    <row r="8" spans="1:6" x14ac:dyDescent="0.25">
      <c r="A8" s="30">
        <v>0.133838</v>
      </c>
      <c r="B8" s="31">
        <v>158.31099765405824</v>
      </c>
      <c r="C8" s="31">
        <v>158.66681582693676</v>
      </c>
      <c r="D8" s="31">
        <v>159.16154075971087</v>
      </c>
      <c r="E8" s="31">
        <v>159.81523833768688</v>
      </c>
      <c r="F8" s="31">
        <v>160.65203480459726</v>
      </c>
    </row>
    <row r="9" spans="1:6" x14ac:dyDescent="0.25">
      <c r="A9" s="30">
        <v>0.143838</v>
      </c>
      <c r="B9" s="31">
        <v>141.88971214964317</v>
      </c>
      <c r="C9" s="31">
        <v>141.81160538869028</v>
      </c>
      <c r="D9" s="31">
        <v>141.81896719648574</v>
      </c>
      <c r="E9" s="31">
        <v>141.92305944104572</v>
      </c>
      <c r="F9" s="31">
        <v>142.13721346391887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12919000000</v>
      </c>
      <c r="C5" s="18">
        <v>9520000000</v>
      </c>
      <c r="D5" s="18">
        <v>6317000000</v>
      </c>
      <c r="E5" s="18">
        <v>6255000000</v>
      </c>
      <c r="F5" s="6" t="s">
        <v>91</v>
      </c>
    </row>
    <row r="6" spans="1:6" x14ac:dyDescent="0.25">
      <c r="A6" t="s">
        <v>51</v>
      </c>
      <c r="B6" s="18">
        <v>4599000000</v>
      </c>
      <c r="C6" s="18">
        <v>2130000000</v>
      </c>
      <c r="D6" s="18">
        <v>97000000</v>
      </c>
      <c r="E6" s="18">
        <v>-402000000</v>
      </c>
      <c r="F6" s="6" t="s">
        <v>92</v>
      </c>
    </row>
    <row r="7" spans="1:6" x14ac:dyDescent="0.25">
      <c r="A7" t="s">
        <v>93</v>
      </c>
      <c r="B7" s="18">
        <v>375000000</v>
      </c>
      <c r="C7" s="18">
        <v>451000000</v>
      </c>
      <c r="D7" s="18">
        <v>568000000</v>
      </c>
      <c r="E7" s="18">
        <v>828000000</v>
      </c>
      <c r="F7" s="6" t="s">
        <v>94</v>
      </c>
    </row>
    <row r="8" spans="1:6" x14ac:dyDescent="0.25">
      <c r="A8" t="s">
        <v>95</v>
      </c>
      <c r="B8" s="18">
        <v>418000000</v>
      </c>
      <c r="C8" s="18">
        <v>412000000</v>
      </c>
      <c r="D8" s="18">
        <v>487000000</v>
      </c>
      <c r="E8" s="18">
        <v>821000000</v>
      </c>
      <c r="F8" s="6" t="s">
        <v>96</v>
      </c>
    </row>
    <row r="9" spans="1:6" x14ac:dyDescent="0.25">
      <c r="A9" t="s">
        <v>97</v>
      </c>
      <c r="B9" s="18">
        <v>658000000</v>
      </c>
      <c r="C9" s="18">
        <v>1031000000</v>
      </c>
      <c r="D9" s="18">
        <v>307000000</v>
      </c>
      <c r="E9" s="18">
        <v>-92000000</v>
      </c>
      <c r="F9" s="6" t="s">
        <v>98</v>
      </c>
    </row>
    <row r="10" spans="1:6" x14ac:dyDescent="0.25">
      <c r="A10" t="s">
        <v>99</v>
      </c>
      <c r="B10" s="18">
        <v>1052000000</v>
      </c>
      <c r="C10" s="18">
        <v>4711000000</v>
      </c>
      <c r="D10" s="18">
        <v>7434000000</v>
      </c>
      <c r="E10" s="18">
        <v>7070000000</v>
      </c>
      <c r="F10" s="6" t="s">
        <v>100</v>
      </c>
    </row>
    <row r="11" spans="1:6" x14ac:dyDescent="0.25">
      <c r="A11" t="s">
        <v>101</v>
      </c>
      <c r="B11" s="18">
        <v>1579000000</v>
      </c>
      <c r="C11" s="18">
        <v>2114000000</v>
      </c>
      <c r="D11" s="18">
        <v>1551000000</v>
      </c>
      <c r="E11" s="18">
        <v>2023000000</v>
      </c>
      <c r="F11" s="6" t="s">
        <v>102</v>
      </c>
    </row>
    <row r="12" spans="1:6" x14ac:dyDescent="0.25">
      <c r="A12" t="s">
        <v>34</v>
      </c>
      <c r="B12" s="34">
        <v>383000000</v>
      </c>
      <c r="C12" s="34">
        <v>359000000</v>
      </c>
      <c r="D12" s="34">
        <v>326000000</v>
      </c>
      <c r="E12" s="34">
        <v>318000000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