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<sst xmlns="http://schemas.openxmlformats.org/spreadsheetml/2006/main" count="112" uniqueCount="100">
  <si>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Western Digital Corporation (WDC)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</si>
  <si>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</si>
  <si>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</si>
  <si>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</si>
  <si>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</si>
  <si>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</si>
  <si>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</si>
  <si>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</si>
  <si>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</si>
  <si>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</si>
  <si>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</si>
  <si>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</si>
  <si>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</si>
  <si>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</si>
  <si>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</si>
  <si>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</si>
  <si>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</si>
  <si>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</si>
  <si>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</si>
  <si>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</si>
  <si>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</si>
  <si>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</si>
  <si>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</si>
  <si>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</si>
  <si>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</si>
  <si>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</si>
  <si>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</si>
  <si>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</si>
  <si>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</si>
  <si>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</si>
  <si>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</si>
  <si>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</si>
  <si>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</si>
  <si>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</si>
  <si>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</si>
  <si>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</si>
  <si>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</si>
  <si>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</si>
  <si>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</si>
  <si>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</si>
  <si>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</si>
  <si>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</si>
  <si>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</si>
  <si>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</si>
  <si>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</si>
  <si>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</si>
  <si>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</si>
  <si>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</si>
  <si>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</si>
  <si>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</si>
  <si>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</si>
  <si>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</si>
  <si>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</si>
  <si>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</si>
  <si>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</si>
  <si>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</si>
  <si>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</si>
  <si>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</si>
  <si>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</si>
  <si>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</si>
  <si>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</si>
  <si>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</si>
  <si>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</si>
  <si>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</si>
  <si>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</si>
  <si>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</si>
  <si>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</si>
  <si>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</si>
  <si>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</si>
  <si>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</si>
  <si>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</si>
  <si>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</si>
  <si>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</si>
  <si>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</si>
  <si>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</si>
  <si>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</si>
  <si>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</si>
  <si>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</si>
  <si>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</si>
  <si>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</si>
  <si>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</si>
  <si>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</si>
  <si>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</si>
  <si>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</si>
  <si>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</si>
  <si>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</si>
  <si>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</si>
  <si>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</si>
  <si>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</si>
  <si>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</si>
  <si>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</si>
  <si>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</si>
  <si>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</si>
  <si>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</si>
  <si>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</si>
  <si>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</si>
  <si>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</si>
  <si>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</si>
  <si>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31.9x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</si>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</sst>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0.2735046294980865</v>
      </c>
    </row>
    <row r="7" spans="1:2" x14ac:dyDescent="0.25">
      <c r="A7" t="s">
        <v>5</v>
      </c>
      <c r="B7" s="6">
        <v>0.13270340160057575</v>
      </c>
    </row>
    <row r="8" spans="1:2" x14ac:dyDescent="0.25">
      <c r="A8" t="s">
        <v>6</v>
      </c>
      <c r="B8" s="6">
        <v>0.04856133266027259</v>
      </c>
    </row>
    <row r="9" spans="1:2" x14ac:dyDescent="0.25">
      <c r="A9" t="s">
        <v>7</v>
      </c>
      <c r="B9" s="6">
        <v>0.07467279104708496</v>
      </c>
    </row>
    <row r="10" spans="1:2" x14ac:dyDescent="0.25">
      <c r="A10" t="s">
        <v>8</v>
      </c>
      <c r="B10" s="6">
        <v>0.07099532736592781</v>
      </c>
    </row>
    <row r="11" spans="1:2" x14ac:dyDescent="0.25">
      <c r="A11" t="s">
        <v>9</v>
      </c>
      <c r="B11" s="6">
        <v>0.32188573212613175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0.20221157068784865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1.7919399999999999</v>
      </c>
      <c r="C19" s="8" t="s">
        <v>19</v>
      </c>
    </row>
    <row r="20" spans="1:2" x14ac:dyDescent="0.25">
      <c r="A20" t="s">
        <v>20</v>
      </c>
      <c r="B20" s="10">
        <f>B17+B19*B18</f>
        <v>0.1485367</v>
      </c>
    </row>
    <row r="21" spans="1:3" x14ac:dyDescent="0.25">
      <c r="A21" t="s">
        <v>21</v>
      </c>
      <c r="B21" s="6">
        <v>0.05726184279021343</v>
      </c>
      <c r="C21" s="8" t="s">
        <v>22</v>
      </c>
    </row>
    <row r="22" spans="1:2" x14ac:dyDescent="0.25">
      <c r="A22" t="s">
        <v>23</v>
      </c>
      <c r="B22" s="11">
        <v>159128338432</v>
      </c>
    </row>
    <row r="23" spans="1:2" x14ac:dyDescent="0.25">
      <c r="A23" t="s">
        <v>24</v>
      </c>
      <c r="B23" s="11">
        <v>1052000000</v>
      </c>
    </row>
    <row r="24" spans="1:2" x14ac:dyDescent="0.25">
      <c r="A24" t="s">
        <v>25</v>
      </c>
      <c r="B24" s="10">
        <f>B22/(B22+B23)</f>
        <v>0.9934324024390384</v>
      </c>
    </row>
    <row r="25" spans="1:2" x14ac:dyDescent="0.25">
      <c r="A25" t="s">
        <v>26</v>
      </c>
      <c r="B25" s="10">
        <f>1-B24</f>
        <v>0.006567597560961591</v>
      </c>
    </row>
    <row r="26" spans="1:2" x14ac:dyDescent="0.25">
      <c r="A26" t="s">
        <v>27</v>
      </c>
      <c r="B26" s="12">
        <f>B24*B20+B25*B21*(1-B8)</f>
        <v>0.14791898087702665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12919000000</v>
      </c>
      <c r="C29" s="8" t="s">
        <v>30</v>
      </c>
    </row>
    <row r="30" spans="1:2" x14ac:dyDescent="0.25">
      <c r="A30" t="s">
        <v>31</v>
      </c>
      <c r="B30" s="11">
        <v>-527000000</v>
      </c>
    </row>
    <row r="31" spans="1:2" x14ac:dyDescent="0.25">
      <c r="A31" t="s">
        <v>32</v>
      </c>
      <c r="B31" s="13">
        <v>383000000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0.2735046294980865</v>
      </c>
      <c r="C5" s="10">
        <f>Assumptions!B6</f>
        <v>0.2735046294980865</v>
      </c>
      <c r="D5" s="10">
        <f>Assumptions!B6</f>
        <v>0.2735046294980865</v>
      </c>
      <c r="E5" s="10">
        <f>Assumptions!B6</f>
        <v>0.2735046294980865</v>
      </c>
      <c r="F5" s="10">
        <f>Assumptions!B6</f>
        <v>0.2735046294980865</v>
      </c>
    </row>
    <row r="6" spans="1:6" x14ac:dyDescent="0.25">
      <c r="A6" t="s">
        <v>43</v>
      </c>
      <c r="B6" s="18">
        <f>Assumptions!B29*(1+B5)</f>
        <v>16452406308.485779</v>
      </c>
      <c r="C6" s="18">
        <f>B6*(1+C5)</f>
        <v>20952215600.24016</v>
      </c>
      <c r="D6" s="18">
        <f>C6*(1+D5)</f>
        <v>26682743565.147877</v>
      </c>
      <c r="E6" s="18">
        <f>D6*(1+E5)</f>
        <v>33980597457.926098</v>
      </c>
      <c r="F6" s="18">
        <f>E6*(1+F5)</f>
        <v>43274448175.77979</v>
      </c>
    </row>
    <row r="7" spans="1:6" x14ac:dyDescent="0.25">
      <c r="A7" t="s">
        <v>5</v>
      </c>
      <c r="B7" s="10">
        <f>Assumptions!B7</f>
        <v>0.13270340160057575</v>
      </c>
      <c r="C7" s="10">
        <f>Assumptions!B7</f>
        <v>0.13270340160057575</v>
      </c>
      <c r="D7" s="10">
        <f>Assumptions!B7</f>
        <v>0.13270340160057575</v>
      </c>
      <c r="E7" s="10">
        <f>Assumptions!B7</f>
        <v>0.13270340160057575</v>
      </c>
      <c r="F7" s="10">
        <f>Assumptions!B7</f>
        <v>0.13270340160057575</v>
      </c>
    </row>
    <row r="8" spans="1:6" x14ac:dyDescent="0.25">
      <c r="A8" t="s">
        <v>44</v>
      </c>
      <c r="B8" s="18">
        <f>B6*B7</f>
        <v>2183290281.6508346</v>
      </c>
      <c r="C8" s="18">
        <f>C6*C7</f>
        <v>2780430281.2205186</v>
      </c>
      <c r="D8" s="18">
        <f>D6*D7</f>
        <v>3540890835.130997</v>
      </c>
      <c r="E8" s="18">
        <f>E6*E7</f>
        <v>4509340871.086671</v>
      </c>
      <c r="F8" s="18">
        <f>F6*F7</f>
        <v>5742666475.313808</v>
      </c>
    </row>
    <row r="9" spans="1:6" x14ac:dyDescent="0.25">
      <c r="A9" t="s">
        <v>45</v>
      </c>
      <c r="B9" s="18">
        <f>B8*(1-Assumptions!B8)</f>
        <v>2077266795.989648</v>
      </c>
      <c r="C9" s="18">
        <f>C8*(1-Assumptions!B8)</f>
        <v>2645408881.3954735</v>
      </c>
      <c r="D9" s="18">
        <f>D8*(1-Assumptions!B8)</f>
        <v>3368940457.3724904</v>
      </c>
      <c r="E9" s="18">
        <f>E8*(1-Assumptions!B8)</f>
        <v>4290361268.9672675</v>
      </c>
      <c r="F9" s="18">
        <f>F8*(1-Assumptions!B8)</f>
        <v>5463794938.2491</v>
      </c>
    </row>
    <row r="10" spans="1:6" x14ac:dyDescent="0.25">
      <c r="A10" t="s">
        <v>46</v>
      </c>
      <c r="B10" s="18">
        <f>B6*Assumptions!B9</f>
        <v>1228547098.495301</v>
      </c>
      <c r="C10" s="18">
        <f>C6*Assumptions!B9</f>
        <v>1564560417.4902074</v>
      </c>
      <c r="D10" s="18">
        <f>D6*Assumptions!B9</f>
        <v>1992474934.8032384</v>
      </c>
      <c r="E10" s="18">
        <f>E6*Assumptions!B9</f>
        <v>2537426053.630822</v>
      </c>
      <c r="F10" s="18">
        <f>F6*Assumptions!B9</f>
        <v>3231423826.3079114</v>
      </c>
    </row>
    <row r="11" spans="1:6" x14ac:dyDescent="0.25">
      <c r="A11" t="s">
        <v>47</v>
      </c>
      <c r="B11" s="18">
        <f>-B6*Assumptions!B10</f>
        <v>-1168043971.8282037</v>
      </c>
      <c r="C11" s="18">
        <f>-C6*Assumptions!B10</f>
        <v>-1487509405.58055</v>
      </c>
      <c r="D11" s="18">
        <f>-D6*Assumptions!B10</f>
        <v>-1894350114.4287772</v>
      </c>
      <c r="E11" s="18">
        <f>-E6*Assumptions!B10</f>
        <v>-2412463640.615278</v>
      </c>
      <c r="F11" s="18">
        <f>-F6*Assumptions!B10</f>
        <v>-3072283614.819364</v>
      </c>
    </row>
    <row r="12" spans="1:6" x14ac:dyDescent="0.25">
      <c r="A12" t="s">
        <v>48</v>
      </c>
      <c r="B12" s="18">
        <f>-(B6-Assumptions!B29)*Assumptions!B11</f>
        <v>-1137353076.5060375</v>
      </c>
      <c r="C12" s="18">
        <f>-(C6-B6)*Assumptions!B11</f>
        <v>-1448424408.30433</v>
      </c>
      <c r="D12" s="18">
        <f>-(D6-C6)*Assumptions!B11</f>
        <v>-1844575189.4535916</v>
      </c>
      <c r="E12" s="18">
        <f>-(E6-D6)*Assumptions!B11</f>
        <v>-2349075043.2264585</v>
      </c>
      <c r="F12" s="18">
        <f>-(F6-E6)*Assumptions!B11</f>
        <v>-2991557942.5873117</v>
      </c>
    </row>
    <row r="13" spans="1:6" x14ac:dyDescent="0.25">
      <c r="A13" s="19" t="s">
        <v>49</v>
      </c>
      <c r="B13" s="20">
        <f>B9+B10+B11+B12</f>
        <v>1000416846.150708</v>
      </c>
      <c r="C13" s="20">
        <f>C9+C10+C11+C12</f>
        <v>1274035485.0008008</v>
      </c>
      <c r="D13" s="20">
        <f>D9+D10+D11+D12</f>
        <v>1622490088.29336</v>
      </c>
      <c r="E13" s="20">
        <f>E9+E10+E11+E12</f>
        <v>2066248638.7563524</v>
      </c>
      <c r="F13" s="20">
        <f>F9+F10+F11+F12</f>
        <v>2631377207.1503344</v>
      </c>
    </row>
    <row r="14" spans="1:6" x14ac:dyDescent="0.25">
      <c r="A14" t="s">
        <v>50</v>
      </c>
      <c r="B14" s="21">
        <f>1/(1+Assumptions!$B$26)^(1-0.5*Assumptions!$B$32)</f>
        <v>0.9333496769438633</v>
      </c>
      <c r="C14" s="21">
        <f>1/(1+Assumptions!$B$26)^(2-0.5*Assumptions!$B$32)</f>
        <v>0.8130797490871442</v>
      </c>
      <c r="D14" s="21">
        <f>1/(1+Assumptions!$B$26)^(3-0.5*Assumptions!$B$32)</f>
        <v>0.7083076093627615</v>
      </c>
      <c r="E14" s="21">
        <f>1/(1+Assumptions!$B$26)^(4-0.5*Assumptions!$B$32)</f>
        <v>0.6170362378898937</v>
      </c>
      <c r="F14" s="21">
        <f>1/(1+Assumptions!$B$26)^(5-0.5*Assumptions!$B$32)</f>
        <v>0.5375259475354864</v>
      </c>
    </row>
    <row r="15" spans="1:6" x14ac:dyDescent="0.25">
      <c r="A15" s="19" t="s">
        <v>51</v>
      </c>
      <c r="B15" s="20">
        <f>B13*B14</f>
        <v>933738740.1639619</v>
      </c>
      <c r="C15" s="20">
        <f>C13*C14</f>
        <v>1035892452.4725692</v>
      </c>
      <c r="D15" s="20">
        <f>D13*D14</f>
        <v>1149222075.6538455</v>
      </c>
      <c r="E15" s="20">
        <f>E13*E14</f>
        <v>1274950286.6033337</v>
      </c>
      <c r="F15" s="20">
        <f>F13*F14</f>
        <v>1414433526.5967655</v>
      </c>
    </row>
    <row r="17" spans="1:2" x14ac:dyDescent="0.25">
      <c r="A17" s="22" t="s">
        <v>52</v>
      </c>
      <c r="B17" s="23">
        <f>SUM(B15:F15)</f>
        <v>5808237081.490476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2631377207.1503344</v>
      </c>
    </row>
    <row r="5" spans="1:2" x14ac:dyDescent="0.25">
      <c r="A5" t="s">
        <v>56</v>
      </c>
      <c r="B5" s="18">
        <f>IF(Assumptions!$B$33=0,B4,B4-Forecast!F11-Forecast!F10-Forecast!F12)</f>
        <v>5463794938.2491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0.12363288566999053</v>
      </c>
    </row>
    <row r="7" spans="1:2" x14ac:dyDescent="0.25">
      <c r="A7" t="s">
        <v>58</v>
      </c>
      <c r="B7" s="18">
        <f>-MAX(Forecast!F9,0)*B6</f>
        <v>-675504734.9248239</v>
      </c>
    </row>
    <row r="8" spans="1:2" x14ac:dyDescent="0.25">
      <c r="A8" t="s">
        <v>59</v>
      </c>
      <c r="B8" s="18">
        <f>IF(OR(Assumptions!$B$33=0,Assumptions!B12&lt;=0),B5,MAX(B5+B7,0))</f>
        <v>4788290203.324276</v>
      </c>
    </row>
    <row r="9" spans="1:2" x14ac:dyDescent="0.25">
      <c r="A9" t="s">
        <v>60</v>
      </c>
      <c r="B9" s="18">
        <f>B8*(1+Assumptions!B12)/(Assumptions!B26-Assumptions!B12)</f>
        <v>39928719091.13492</v>
      </c>
    </row>
    <row r="10" spans="1:2" x14ac:dyDescent="0.25">
      <c r="A10" t="s">
        <v>61</v>
      </c>
      <c r="B10" s="18">
        <f>B9/(1+Assumptions!B26)^(5-0.5*Assumptions!B32)</f>
        <v>21462722563.340565</v>
      </c>
    </row>
    <row r="11" spans="1:2" x14ac:dyDescent="0.25">
      <c r="A11" t="s">
        <v>62</v>
      </c>
      <c r="B11" s="18">
        <f>Forecast!B17+B10</f>
        <v>27270959644.83104</v>
      </c>
    </row>
    <row r="12" spans="1:2" x14ac:dyDescent="0.25">
      <c r="A12" t="s">
        <v>63</v>
      </c>
      <c r="B12" s="18">
        <f>-Assumptions!B30</f>
        <v>527000000</v>
      </c>
    </row>
    <row r="13" spans="1:2" x14ac:dyDescent="0.25">
      <c r="A13" t="s">
        <v>64</v>
      </c>
      <c r="B13" s="18">
        <f>B11+B12</f>
        <v>27797959644.83104</v>
      </c>
    </row>
    <row r="14" spans="1:2" x14ac:dyDescent="0.25">
      <c r="A14" s="19" t="s">
        <v>65</v>
      </c>
      <c r="B14" s="24">
        <f>B13/Assumptions!B31</f>
        <v>72.57952909877557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8974090301.62172</v>
      </c>
    </row>
    <row r="18" spans="1:2" x14ac:dyDescent="0.25">
      <c r="A18" t="s">
        <v>60</v>
      </c>
      <c r="B18" s="18">
        <f>B17*Assumptions!B13</f>
        <v>179481806032.4344</v>
      </c>
    </row>
    <row r="19" spans="1:2" x14ac:dyDescent="0.25">
      <c r="A19" t="s">
        <v>61</v>
      </c>
      <c r="B19" s="18">
        <f>B18/(1+Assumptions!B26)^(5-0.5*Assumptions!B32)</f>
        <v>96476127852.96468</v>
      </c>
    </row>
    <row r="20" spans="1:2" x14ac:dyDescent="0.25">
      <c r="A20" t="s">
        <v>62</v>
      </c>
      <c r="B20" s="18">
        <f>Forecast!B17+B19</f>
        <v>102284364934.45515</v>
      </c>
    </row>
    <row r="21" spans="1:2" x14ac:dyDescent="0.25">
      <c r="A21" t="s">
        <v>63</v>
      </c>
      <c r="B21" s="18">
        <f>-Assumptions!B30</f>
        <v>527000000</v>
      </c>
    </row>
    <row r="22" spans="1:2" x14ac:dyDescent="0.25">
      <c r="A22" t="s">
        <v>64</v>
      </c>
      <c r="B22" s="18">
        <f>B20+B21</f>
        <v>102811364934.45515</v>
      </c>
    </row>
    <row r="23" spans="1:2" x14ac:dyDescent="0.25">
      <c r="A23" s="19" t="s">
        <v>65</v>
      </c>
      <c r="B23" s="25">
        <f>B22/Assumptions!B31</f>
        <v>268.4369841630683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441.36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72.57952909877557</v>
      </c>
    </row>
    <row r="29" spans="1:2" x14ac:dyDescent="0.25">
      <c r="A29" s="19" t="s">
        <v>73</v>
      </c>
      <c r="B29" s="12">
        <f>B28/B26-1</f>
        <v>-0.8355548099085202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0.127919</v>
      </c>
      <c r="B5" s="31">
        <v>86.3518423952528</v>
      </c>
      <c r="C5" s="31">
        <v>87.96818849366511</v>
      </c>
      <c r="D5" s="31">
        <v>89.7216454404558</v>
      </c>
      <c r="E5" s="31">
        <v>91.63321695018159</v>
      </c>
      <c r="F5" s="31">
        <v>93.72842760278863</v>
      </c>
    </row>
    <row r="6" spans="1:6" x14ac:dyDescent="0.25">
      <c r="A6" s="30">
        <v>0.137919</v>
      </c>
      <c r="B6" s="31">
        <v>77.88300027943197</v>
      </c>
      <c r="C6" s="31">
        <v>79.0756930554743</v>
      </c>
      <c r="D6" s="31">
        <v>80.35654365502334</v>
      </c>
      <c r="E6" s="31">
        <v>81.73780541023194</v>
      </c>
      <c r="F6" s="31">
        <v>83.23411281361255</v>
      </c>
    </row>
    <row r="7" spans="1:6" x14ac:dyDescent="0.25">
      <c r="A7" s="30">
        <v>0.147919</v>
      </c>
      <c r="B7" s="31">
        <v>70.75374366175458</v>
      </c>
      <c r="C7" s="31">
        <v>71.63835868534416</v>
      </c>
      <c r="D7" s="32">
        <v>72.57951549596457</v>
      </c>
      <c r="E7" s="31">
        <v>73.58440654610838</v>
      </c>
      <c r="F7" s="31">
        <v>74.66149820186845</v>
      </c>
    </row>
    <row r="8" spans="1:6" x14ac:dyDescent="0.25">
      <c r="A8" s="30">
        <v>0.157919</v>
      </c>
      <c r="B8" s="31">
        <v>64.67967759487154</v>
      </c>
      <c r="C8" s="31">
        <v>65.33649195040215</v>
      </c>
      <c r="D8" s="31">
        <v>66.0290019926838</v>
      </c>
      <c r="E8" s="31">
        <v>66.7613934587944</v>
      </c>
      <c r="F8" s="31">
        <v>67.53853314196712</v>
      </c>
    </row>
    <row r="9" spans="1:6" x14ac:dyDescent="0.25">
      <c r="A9" s="30">
        <v>0.167919</v>
      </c>
      <c r="B9" s="31">
        <v>59.450981610189494</v>
      </c>
      <c r="C9" s="31">
        <v>59.937031219917316</v>
      </c>
      <c r="D9" s="31">
        <v>60.444814833939404</v>
      </c>
      <c r="E9" s="31">
        <v>60.97669623146254</v>
      </c>
      <c r="F9" s="31">
        <v>61.535394863825545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12919000000</v>
      </c>
      <c r="C5" s="18">
        <v>9520000000</v>
      </c>
      <c r="D5" s="18">
        <v>6317000000</v>
      </c>
      <c r="E5" s="18">
        <v>6255000000</v>
      </c>
      <c r="F5" s="8" t="s">
        <v>84</v>
      </c>
    </row>
    <row r="6" spans="1:6" x14ac:dyDescent="0.25">
      <c r="A6" t="s">
        <v>44</v>
      </c>
      <c r="B6" s="18">
        <v>4599000000</v>
      </c>
      <c r="C6" s="18">
        <v>2130000000</v>
      </c>
      <c r="D6" s="18">
        <v>97000000</v>
      </c>
      <c r="E6" s="18">
        <v>-402000000</v>
      </c>
      <c r="F6" s="8" t="s">
        <v>85</v>
      </c>
    </row>
    <row r="7" spans="1:6" x14ac:dyDescent="0.25">
      <c r="A7" t="s">
        <v>86</v>
      </c>
      <c r="B7" s="18">
        <v>375000000</v>
      </c>
      <c r="C7" s="18">
        <v>451000000</v>
      </c>
      <c r="D7" s="18">
        <v>568000000</v>
      </c>
      <c r="E7" s="18">
        <v>828000000</v>
      </c>
      <c r="F7" s="8" t="s">
        <v>87</v>
      </c>
    </row>
    <row r="8" spans="1:6" x14ac:dyDescent="0.25">
      <c r="A8" t="s">
        <v>88</v>
      </c>
      <c r="B8" s="18">
        <v>418000000</v>
      </c>
      <c r="C8" s="18">
        <v>412000000</v>
      </c>
      <c r="D8" s="18">
        <v>487000000</v>
      </c>
      <c r="E8" s="18">
        <v>821000000</v>
      </c>
      <c r="F8" s="8" t="s">
        <v>89</v>
      </c>
    </row>
    <row r="9" spans="1:6" x14ac:dyDescent="0.25">
      <c r="A9" t="s">
        <v>90</v>
      </c>
      <c r="B9" s="18">
        <v>658000000</v>
      </c>
      <c r="C9" s="18">
        <v>1031000000</v>
      </c>
      <c r="D9" s="18">
        <v>307000000</v>
      </c>
      <c r="E9" s="18">
        <v>-92000000</v>
      </c>
      <c r="F9" s="8" t="s">
        <v>91</v>
      </c>
    </row>
    <row r="10" spans="1:6" x14ac:dyDescent="0.25">
      <c r="A10" t="s">
        <v>92</v>
      </c>
      <c r="B10" s="18">
        <v>1052000000</v>
      </c>
      <c r="C10" s="18">
        <v>4711000000</v>
      </c>
      <c r="D10" s="18">
        <v>7434000000</v>
      </c>
      <c r="E10" s="18">
        <v>7070000000</v>
      </c>
      <c r="F10" s="8" t="s">
        <v>93</v>
      </c>
    </row>
    <row r="11" spans="1:6" x14ac:dyDescent="0.25">
      <c r="A11" t="s">
        <v>94</v>
      </c>
      <c r="B11" s="18">
        <v>1579000000</v>
      </c>
      <c r="C11" s="18">
        <v>2114000000</v>
      </c>
      <c r="D11" s="18">
        <v>1551000000</v>
      </c>
      <c r="E11" s="18">
        <v>2023000000</v>
      </c>
      <c r="F11" s="8" t="s">
        <v>95</v>
      </c>
    </row>
    <row r="12" spans="1:6" x14ac:dyDescent="0.25">
      <c r="A12" t="s">
        <v>32</v>
      </c>
      <c r="B12" s="34">
        <v>383000000</v>
      </c>
      <c r="C12" s="34">
        <v>359000000</v>
      </c>
      <c r="D12" s="34">
        <v>326000000</v>
      </c>
      <c r="E12" s="34">
        <v>318000000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