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<sst xmlns="http://schemas.openxmlformats.org/spreadsheetml/2006/main" count="114" uniqueCount="102">
  <si>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Woodside Energy Group Ltd (WDS.AX)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</si>
  <si>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</si>
  <si>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</si>
  <si>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</si>
  <si>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</si>
  <si>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</si>
  <si>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</si>
  <si>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</si>
  <si>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</si>
  <si>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</si>
  <si>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</si>
  <si>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</si>
  <si>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</si>
  <si>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</si>
  <si>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</si>
  <si>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</si>
  <si>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</si>
  <si>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</si>
  <si>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</si>
  <si>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Clamped from a reported -0.234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</si>
  <si>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</si>
  <si>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</si>
  <si>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</si>
  <si>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</si>
  <si>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</si>
  <si>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</si>
  <si>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</si>
  <si>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</si>
  <si>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</si>
  <si>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</si>
  <si>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</si>
  <si>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</si>
  <si>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</si>
  <si>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</si>
  <si>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</si>
  <si>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</si>
  <si>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</si>
  <si>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</si>
  <si>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</si>
  <si>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</si>
  <si>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</si>
  <si>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</si>
  <si>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</si>
  <si>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</si>
  <si>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</si>
  <si>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</si>
  <si>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</si>
  <si>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</si>
  <si>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</si>
  <si>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</si>
  <si>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</si>
  <si>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</si>
  <si>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</si>
  <si>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</si>
  <si>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</si>
  <si>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</si>
  <si>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</si>
  <si>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</si>
  <si>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</si>
  <si>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</si>
  <si>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</si>
  <si>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</si>
  <si>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</si>
  <si>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</si>
  <si>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</si>
  <si>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</si>
  <si>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</si>
  <si>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</si>
  <si>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</si>
  <si>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</si>
  <si>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</si>
  <si>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</si>
  <si>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</si>
  <si>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</si>
  <si>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</si>
  <si>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</si>
  <si>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</si>
  <si>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</si>
  <si>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</si>
  <si>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</si>
  <si>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</si>
  <si>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</si>
  <si>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</si>
  <si>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</si>
  <si>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</si>
  <si>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</si>
  <si>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</si>
  <si>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</si>
  <si>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</si>
  <si>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</si>
  <si>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</si>
  <si>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</si>
  <si>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</si>
  <si>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</si>
  <si>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</si>
  <si>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</si>
  <si>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</si>
  <si>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</si>
  <si>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</si>
  <si>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Adjusted: Beta of -0.234 is not usable in a cost of equity. Clamped to 0.30.</t>
  </si>
  <si>
    <t>Adjusted: Capital expenditure runs at 38.8% of revenue against depreciation of 30.9%.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</si>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</sst>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-0.08261142427165735</v>
      </c>
    </row>
    <row r="7" spans="1:2" x14ac:dyDescent="0.25">
      <c r="A7" t="s">
        <v>5</v>
      </c>
      <c r="B7" s="6">
        <v>0.46349902357663214</v>
      </c>
    </row>
    <row r="8" spans="1:2" x14ac:dyDescent="0.25">
      <c r="A8" t="s">
        <v>6</v>
      </c>
      <c r="B8" s="6">
        <v>0.2861034208132679</v>
      </c>
    </row>
    <row r="9" spans="1:2" x14ac:dyDescent="0.25">
      <c r="A9" t="s">
        <v>7</v>
      </c>
      <c r="B9" s="6">
        <v>0.30908989038672763</v>
      </c>
    </row>
    <row r="10" spans="1:2" x14ac:dyDescent="0.25">
      <c r="A10" t="s">
        <v>8</v>
      </c>
      <c r="B10" s="6">
        <v>0.3876661107849816</v>
      </c>
    </row>
    <row r="11" spans="1:2" x14ac:dyDescent="0.25">
      <c r="A11" t="s">
        <v>9</v>
      </c>
      <c r="B11" s="6">
        <v>-0.32199787460148777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7.096888148042122</v>
      </c>
    </row>
    <row r="14" spans="1:3" x14ac:dyDescent="0.25">
      <c r="A14" t="s">
        <v>12</v>
      </c>
      <c r="B14" s="6">
        <v>0.10347925396772494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0.07148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61633662976</v>
      </c>
    </row>
    <row r="23" spans="1:2" x14ac:dyDescent="0.25">
      <c r="A23" t="s">
        <v>24</v>
      </c>
      <c r="B23" s="11">
        <v>13722000000</v>
      </c>
    </row>
    <row r="24" spans="1:2" x14ac:dyDescent="0.25">
      <c r="A24" t="s">
        <v>25</v>
      </c>
      <c r="B24" s="10">
        <f>B22/(B22+B23)</f>
        <v>0.817903532951859</v>
      </c>
    </row>
    <row r="25" spans="1:2" x14ac:dyDescent="0.25">
      <c r="A25" t="s">
        <v>26</v>
      </c>
      <c r="B25" s="10">
        <f>1-B24</f>
        <v>0.18209646704814098</v>
      </c>
    </row>
    <row r="26" spans="1:2" x14ac:dyDescent="0.25">
      <c r="A26" t="s">
        <v>27</v>
      </c>
      <c r="B26" s="12">
        <f>B24*B20+B25*B21*(1-B8)</f>
        <v>0.0654160399770604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12984000000</v>
      </c>
      <c r="C29" s="8" t="s">
        <v>30</v>
      </c>
    </row>
    <row r="30" spans="1:2" x14ac:dyDescent="0.25">
      <c r="A30" t="s">
        <v>31</v>
      </c>
      <c r="B30" s="11">
        <v>7781000000</v>
      </c>
    </row>
    <row r="31" spans="1:2" x14ac:dyDescent="0.25">
      <c r="A31" t="s">
        <v>32</v>
      </c>
      <c r="B31" s="13">
        <v>1913421137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-0.08261142427165735</v>
      </c>
      <c r="C5" s="10">
        <f>Assumptions!B6</f>
        <v>-0.08261142427165735</v>
      </c>
      <c r="D5" s="10">
        <f>Assumptions!B6</f>
        <v>-0.08261142427165735</v>
      </c>
      <c r="E5" s="10">
        <f>Assumptions!B6</f>
        <v>-0.08261142427165735</v>
      </c>
      <c r="F5" s="10">
        <f>Assumptions!B6</f>
        <v>-0.08261142427165735</v>
      </c>
    </row>
    <row r="6" spans="1:6" x14ac:dyDescent="0.25">
      <c r="A6" t="s">
        <v>43</v>
      </c>
      <c r="B6" s="18">
        <f>Assumptions!B29*(1+B5)</f>
        <v>11911373267.256802</v>
      </c>
      <c r="C6" s="18">
        <f>B6*(1+C5)</f>
        <v>10927357756.617373</v>
      </c>
      <c r="D6" s="18">
        <f>C6*(1+D5)</f>
        <v>10024633168.817268</v>
      </c>
      <c r="E6" s="18">
        <f>D6*(1+E5)</f>
        <v>9196483944.940376</v>
      </c>
      <c r="F6" s="18">
        <f>E6*(1+F5)</f>
        <v>8436749307.957421</v>
      </c>
    </row>
    <row r="7" spans="1:6" x14ac:dyDescent="0.25">
      <c r="A7" t="s">
        <v>5</v>
      </c>
      <c r="B7" s="10">
        <f>Assumptions!B7</f>
        <v>0.46349902357663214</v>
      </c>
      <c r="C7" s="10">
        <f>Assumptions!B7</f>
        <v>0.46349902357663214</v>
      </c>
      <c r="D7" s="10">
        <f>Assumptions!B7</f>
        <v>0.46349902357663214</v>
      </c>
      <c r="E7" s="10">
        <f>Assumptions!B7</f>
        <v>0.46349902357663214</v>
      </c>
      <c r="F7" s="10">
        <f>Assumptions!B7</f>
        <v>0.46349902357663214</v>
      </c>
    </row>
    <row r="8" spans="1:6" x14ac:dyDescent="0.25">
      <c r="A8" t="s">
        <v>44</v>
      </c>
      <c r="B8" s="18">
        <f>B6*B7</f>
        <v>5520909878.830326</v>
      </c>
      <c r="C8" s="18">
        <f>C6*C7</f>
        <v>5064819650.464689</v>
      </c>
      <c r="D8" s="18">
        <f>D6*D7</f>
        <v>4646407685.460724</v>
      </c>
      <c r="E8" s="18">
        <f>E6*E7</f>
        <v>4262561328.8180385</v>
      </c>
      <c r="F8" s="18">
        <f>F6*F7</f>
        <v>3910425066.3990917</v>
      </c>
    </row>
    <row r="9" spans="1:6" x14ac:dyDescent="0.25">
      <c r="A9" t="s">
        <v>45</v>
      </c>
      <c r="B9" s="18">
        <f>B8*(1-Assumptions!B8)</f>
        <v>3941358676.4952054</v>
      </c>
      <c r="C9" s="18">
        <f>C8*(1-Assumptions!B8)</f>
        <v>3615757422.6644816</v>
      </c>
      <c r="D9" s="18">
        <f>D8*(1-Assumptions!B8)</f>
        <v>3317054552.1573524</v>
      </c>
      <c r="E9" s="18">
        <f>E8*(1-Assumptions!B8)</f>
        <v>3043027951.216849</v>
      </c>
      <c r="F9" s="18">
        <f>F8*(1-Assumptions!B8)</f>
        <v>2791639078.0683613</v>
      </c>
    </row>
    <row r="10" spans="1:6" x14ac:dyDescent="0.25">
      <c r="A10" t="s">
        <v>46</v>
      </c>
      <c r="B10" s="18">
        <f>B6*Assumptions!B9</f>
        <v>3681685057.5318027</v>
      </c>
      <c r="C10" s="18">
        <f>C6*Assumptions!B9</f>
        <v>3377535811.2094216</v>
      </c>
      <c r="D10" s="18">
        <f>D6*Assumptions!B9</f>
        <v>3098512767.3168836</v>
      </c>
      <c r="E10" s="18">
        <f>E6*Assumptions!B9</f>
        <v>2842540214.4849215</v>
      </c>
      <c r="F10" s="18">
        <f>F6*Assumptions!B9</f>
        <v>2607713918.8168597</v>
      </c>
    </row>
    <row r="11" spans="1:6" x14ac:dyDescent="0.25">
      <c r="A11" t="s">
        <v>47</v>
      </c>
      <c r="B11" s="18">
        <f>-B6*Assumptions!B10</f>
        <v>-4617635748.625644</v>
      </c>
      <c r="C11" s="18">
        <f>-C6*Assumptions!B10</f>
        <v>-4236166282.663958</v>
      </c>
      <c r="D11" s="18">
        <f>-D6*Assumptions!B10</f>
        <v>-3886210552.6015162</v>
      </c>
      <c r="E11" s="18">
        <f>-E6*Assumptions!B10</f>
        <v>-3565165163.8315606</v>
      </c>
      <c r="F11" s="18">
        <f>-F6*Assumptions!B10</f>
        <v>-3270641791.8837385</v>
      </c>
    </row>
    <row r="12" spans="1:6" x14ac:dyDescent="0.25">
      <c r="A12" t="s">
        <v>48</v>
      </c>
      <c r="B12" s="18">
        <f>-(B6-Assumptions!B29)*Assumptions!B11</f>
        <v>-345383528.18404794</v>
      </c>
      <c r="C12" s="18">
        <f>-(C6-B6)*Assumptions!B11</f>
        <v>-316850903.0007938</v>
      </c>
      <c r="D12" s="18">
        <f>-(D6-C6)*Assumptions!B11</f>
        <v>-290675398.62213767</v>
      </c>
      <c r="E12" s="18">
        <f>-(E6-D6)*Assumptions!B11</f>
        <v>-266662289.94123092</v>
      </c>
      <c r="F12" s="18">
        <f>-(F6-E6)*Assumptions!B11</f>
        <v>-244632938.36964437</v>
      </c>
    </row>
    <row r="13" spans="1:6" x14ac:dyDescent="0.25">
      <c r="A13" s="19" t="s">
        <v>49</v>
      </c>
      <c r="B13" s="20">
        <f>B9+B10+B11+B12</f>
        <v>2660024457.2173166</v>
      </c>
      <c r="C13" s="20">
        <f>C9+C10+C11+C12</f>
        <v>2440276048.2091513</v>
      </c>
      <c r="D13" s="20">
        <f>D9+D10+D11+D12</f>
        <v>2238681368.2505817</v>
      </c>
      <c r="E13" s="20">
        <f>E9+E10+E11+E12</f>
        <v>2053740711.9289792</v>
      </c>
      <c r="F13" s="20">
        <f>F9+F10+F11+F12</f>
        <v>1884078266.6318386</v>
      </c>
    </row>
    <row r="14" spans="1:6" x14ac:dyDescent="0.25">
      <c r="A14" t="s">
        <v>50</v>
      </c>
      <c r="B14" s="21">
        <f>1/(1+Assumptions!$B$26)^(1-0.5*Assumptions!$B$32)</f>
        <v>0.9688139521488581</v>
      </c>
      <c r="C14" s="21">
        <f>1/(1+Assumptions!$B$26)^(2-0.5*Assumptions!$B$32)</f>
        <v>0.909329234586817</v>
      </c>
      <c r="D14" s="21">
        <f>1/(1+Assumptions!$B$26)^(3-0.5*Assumptions!$B$32)</f>
        <v>0.853496850494569</v>
      </c>
      <c r="E14" s="21">
        <f>1/(1+Assumptions!$B$26)^(4-0.5*Assumptions!$B$32)</f>
        <v>0.8010925483278305</v>
      </c>
      <c r="F14" s="21">
        <f>1/(1+Assumptions!$B$26)^(5-0.5*Assumptions!$B$32)</f>
        <v>0.7519058454808686</v>
      </c>
    </row>
    <row r="15" spans="1:6" x14ac:dyDescent="0.25">
      <c r="A15" s="19" t="s">
        <v>51</v>
      </c>
      <c r="B15" s="20">
        <f>B13*B14</f>
        <v>2577068807.2093296</v>
      </c>
      <c r="C15" s="20">
        <f>C13*C14</f>
        <v>2219014351.0985703</v>
      </c>
      <c r="D15" s="20">
        <f>D13*D14</f>
        <v>1910707497.062744</v>
      </c>
      <c r="E15" s="20">
        <f>E13*E14</f>
        <v>1645236380.5237987</v>
      </c>
      <c r="F15" s="20">
        <f>F13*F14</f>
        <v>1416649462.023942</v>
      </c>
    </row>
    <row r="17" spans="1:2" x14ac:dyDescent="0.25">
      <c r="A17" s="22" t="s">
        <v>52</v>
      </c>
      <c r="B17" s="23">
        <f>SUM(B15:F15)</f>
        <v>9768676497.918385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1884078266.6318386</v>
      </c>
    </row>
    <row r="5" spans="1:2" x14ac:dyDescent="0.25">
      <c r="A5" t="s">
        <v>56</v>
      </c>
      <c r="B5" s="18">
        <f>IF(Assumptions!$B$33=0,B4,B4-Forecast!F11-Forecast!F10-Forecast!F12)</f>
        <v>2791639078.0683613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0.2415943200344049</v>
      </c>
    </row>
    <row r="7" spans="1:2" x14ac:dyDescent="0.25">
      <c r="A7" t="s">
        <v>58</v>
      </c>
      <c r="B7" s="18">
        <f>-MAX(Forecast!F9,0)*B6</f>
        <v>-674444144.8473988</v>
      </c>
    </row>
    <row r="8" spans="1:2" x14ac:dyDescent="0.25">
      <c r="A8" t="s">
        <v>59</v>
      </c>
      <c r="B8" s="18">
        <f>IF(OR(Assumptions!$B$33=0,Assumptions!B12&lt;=0),B5,MAX(B5+B7,0))</f>
        <v>2117194933.2209625</v>
      </c>
    </row>
    <row r="9" spans="1:2" x14ac:dyDescent="0.25">
      <c r="A9" t="s">
        <v>60</v>
      </c>
      <c r="B9" s="18">
        <f>B8*(1+Assumptions!B12)/(Assumptions!B26-Assumptions!B12)</f>
        <v>53694642220.84153</v>
      </c>
    </row>
    <row r="10" spans="1:2" x14ac:dyDescent="0.25">
      <c r="A10" t="s">
        <v>61</v>
      </c>
      <c r="B10" s="18">
        <f>B9/(1+Assumptions!B26)^(5-0.5*Assumptions!B32)</f>
        <v>40373315356.85459</v>
      </c>
    </row>
    <row r="11" spans="1:2" x14ac:dyDescent="0.25">
      <c r="A11" t="s">
        <v>62</v>
      </c>
      <c r="B11" s="18">
        <f>Forecast!B17+B10</f>
        <v>50141991854.77298</v>
      </c>
    </row>
    <row r="12" spans="1:2" x14ac:dyDescent="0.25">
      <c r="A12" t="s">
        <v>63</v>
      </c>
      <c r="B12" s="18">
        <f>-Assumptions!B30</f>
        <v>-7781000000</v>
      </c>
    </row>
    <row r="13" spans="1:2" x14ac:dyDescent="0.25">
      <c r="A13" t="s">
        <v>64</v>
      </c>
      <c r="B13" s="18">
        <f>B11+B12</f>
        <v>42360991854.77298</v>
      </c>
    </row>
    <row r="14" spans="1:2" x14ac:dyDescent="0.25">
      <c r="A14" s="19" t="s">
        <v>65</v>
      </c>
      <c r="B14" s="24">
        <f>B13/Assumptions!B31</f>
        <v>22.13887525105404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6518138985.215952</v>
      </c>
    </row>
    <row r="18" spans="1:2" x14ac:dyDescent="0.25">
      <c r="A18" t="s">
        <v>60</v>
      </c>
      <c r="B18" s="18">
        <f>B17*Assumptions!B13</f>
        <v>46258503311.4704</v>
      </c>
    </row>
    <row r="19" spans="1:2" x14ac:dyDescent="0.25">
      <c r="A19" t="s">
        <v>61</v>
      </c>
      <c r="B19" s="18">
        <f>B18/(1+Assumptions!B26)^(5-0.5*Assumptions!B32)</f>
        <v>34782039043.090706</v>
      </c>
    </row>
    <row r="20" spans="1:2" x14ac:dyDescent="0.25">
      <c r="A20" t="s">
        <v>62</v>
      </c>
      <c r="B20" s="18">
        <f>Forecast!B17+B19</f>
        <v>44550715541.009094</v>
      </c>
    </row>
    <row r="21" spans="1:2" x14ac:dyDescent="0.25">
      <c r="A21" t="s">
        <v>63</v>
      </c>
      <c r="B21" s="18">
        <f>-Assumptions!B30</f>
        <v>-7781000000</v>
      </c>
    </row>
    <row r="22" spans="1:2" x14ac:dyDescent="0.25">
      <c r="A22" t="s">
        <v>64</v>
      </c>
      <c r="B22" s="18">
        <f>B20+B21</f>
        <v>36769715541.009094</v>
      </c>
    </row>
    <row r="23" spans="1:2" x14ac:dyDescent="0.25">
      <c r="A23" s="19" t="s">
        <v>65</v>
      </c>
      <c r="B23" s="25">
        <f>B22/Assumptions!B31</f>
        <v>19.21673949868627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32.42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31.087408627530078</v>
      </c>
    </row>
    <row r="29" spans="1:2" x14ac:dyDescent="0.25">
      <c r="A29" s="19" t="s">
        <v>73</v>
      </c>
      <c r="B29" s="12">
        <f>B28/B26-1</f>
        <v>-0.04110399051418645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0.045416</v>
      </c>
      <c r="B5" s="31">
        <v>35.34624197633471</v>
      </c>
      <c r="C5" s="31">
        <v>39.936547117382</v>
      </c>
      <c r="D5" s="31">
        <v>46.74696398290773</v>
      </c>
      <c r="E5" s="31">
        <v>57.93769469195552</v>
      </c>
      <c r="F5" s="31">
        <v>79.81679489475877</v>
      </c>
    </row>
    <row r="6" spans="1:6" x14ac:dyDescent="0.25">
      <c r="A6" s="30">
        <v>0.055416</v>
      </c>
      <c r="B6" s="31">
        <v>25.72426797641465</v>
      </c>
      <c r="C6" s="31">
        <v>27.739512792554414</v>
      </c>
      <c r="D6" s="31">
        <v>30.39913573795967</v>
      </c>
      <c r="E6" s="31">
        <v>34.08343551970401</v>
      </c>
      <c r="F6" s="31">
        <v>39.54526051871835</v>
      </c>
    </row>
    <row r="7" spans="1:6" x14ac:dyDescent="0.25">
      <c r="A7" s="30">
        <v>0.065416</v>
      </c>
      <c r="B7" s="31">
        <v>19.922984780527408</v>
      </c>
      <c r="C7" s="31">
        <v>20.91479932401362</v>
      </c>
      <c r="D7" s="32">
        <v>22.13890010688839</v>
      </c>
      <c r="E7" s="31">
        <v>23.693669035375674</v>
      </c>
      <c r="F7" s="31">
        <v>25.742178906167602</v>
      </c>
    </row>
    <row r="8" spans="1:6" x14ac:dyDescent="0.25">
      <c r="A8" s="30">
        <v>0.075416</v>
      </c>
      <c r="B8" s="31">
        <v>16.04493125464019</v>
      </c>
      <c r="C8" s="31">
        <v>16.553895911697953</v>
      </c>
      <c r="D8" s="31">
        <v>17.15373258986364</v>
      </c>
      <c r="E8" s="31">
        <v>17.874454507311885</v>
      </c>
      <c r="F8" s="31">
        <v>18.760927028978305</v>
      </c>
    </row>
    <row r="9" spans="1:6" x14ac:dyDescent="0.25">
      <c r="A9" s="30">
        <v>0.085416</v>
      </c>
      <c r="B9" s="31">
        <v>13.270522397756833</v>
      </c>
      <c r="C9" s="31">
        <v>13.526773848450077</v>
      </c>
      <c r="D9" s="31">
        <v>13.81737060070379</v>
      </c>
      <c r="E9" s="31">
        <v>14.151609238959411</v>
      </c>
      <c r="F9" s="31">
        <v>14.542474297690687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12984000000</v>
      </c>
      <c r="C5" s="18">
        <v>13179000000</v>
      </c>
      <c r="D5" s="18">
        <v>13994000000</v>
      </c>
      <c r="E5" s="18">
        <v>16817000000</v>
      </c>
      <c r="F5" s="8" t="s">
        <v>84</v>
      </c>
    </row>
    <row r="6" spans="1:6" x14ac:dyDescent="0.25">
      <c r="A6" t="s">
        <v>44</v>
      </c>
      <c r="B6" s="18">
        <v>4536000000</v>
      </c>
      <c r="C6" s="18">
        <v>5678000000</v>
      </c>
      <c r="D6" s="18">
        <v>6475000000</v>
      </c>
      <c r="E6" s="18">
        <v>10277000000</v>
      </c>
      <c r="F6" s="8" t="s">
        <v>85</v>
      </c>
    </row>
    <row r="7" spans="1:6" x14ac:dyDescent="0.25">
      <c r="A7" t="s">
        <v>86</v>
      </c>
      <c r="B7" s="18">
        <v>5245000000</v>
      </c>
      <c r="C7" s="18">
        <v>4762000000</v>
      </c>
      <c r="D7" s="18">
        <v>4139000000</v>
      </c>
      <c r="E7" s="18">
        <v>2948000000</v>
      </c>
      <c r="F7" s="8" t="s">
        <v>87</v>
      </c>
    </row>
    <row r="8" spans="1:6" x14ac:dyDescent="0.25">
      <c r="A8" t="s">
        <v>88</v>
      </c>
      <c r="B8" s="18">
        <v>7974000000</v>
      </c>
      <c r="C8" s="18">
        <v>4902000000</v>
      </c>
      <c r="D8" s="18">
        <v>5291000000</v>
      </c>
      <c r="E8" s="18">
        <v>3136000000</v>
      </c>
      <c r="F8" s="8" t="s">
        <v>89</v>
      </c>
    </row>
    <row r="9" spans="1:6" x14ac:dyDescent="0.25">
      <c r="A9" t="s">
        <v>90</v>
      </c>
      <c r="B9" s="18">
        <v>10000000</v>
      </c>
      <c r="C9" s="18">
        <v>329000000</v>
      </c>
      <c r="D9" s="18">
        <v>909000000</v>
      </c>
      <c r="E9" s="18">
        <v>900000000</v>
      </c>
      <c r="F9" s="8" t="s">
        <v>91</v>
      </c>
    </row>
    <row r="10" spans="1:6" x14ac:dyDescent="0.25">
      <c r="A10" t="s">
        <v>92</v>
      </c>
      <c r="B10" s="18">
        <v>13722000000</v>
      </c>
      <c r="C10" s="18">
        <v>11620000000</v>
      </c>
      <c r="D10" s="18">
        <v>6498000000</v>
      </c>
      <c r="E10" s="18">
        <v>6772000000</v>
      </c>
      <c r="F10" s="8" t="s">
        <v>93</v>
      </c>
    </row>
    <row r="11" spans="1:6" x14ac:dyDescent="0.25">
      <c r="A11" t="s">
        <v>94</v>
      </c>
      <c r="B11" s="18">
        <v>5941000000</v>
      </c>
      <c r="C11" s="18">
        <v>4108000000</v>
      </c>
      <c r="D11" s="18">
        <v>1949000000</v>
      </c>
      <c r="E11" s="18">
        <v>6866000000</v>
      </c>
      <c r="F11" s="8" t="s">
        <v>95</v>
      </c>
    </row>
    <row r="12" spans="1:6" x14ac:dyDescent="0.25">
      <c r="A12" t="s">
        <v>32</v>
      </c>
      <c r="B12" s="34">
        <v>1913421137</v>
      </c>
      <c r="C12" s="34">
        <v>1911925286</v>
      </c>
      <c r="D12" s="34">
        <v>1910942971</v>
      </c>
      <c r="E12" s="34">
        <v>1524318780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2026-09-19T00:06:41Z</dcterms:modified>
</cp:coreProperties>
</file>