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<sst xmlns="http://schemas.openxmlformats.org/spreadsheetml/2006/main" count="120" uniqueCount="107">
  <si>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WEC Energy Group, Inc. (WEC)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</si>
  <si>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</si>
  <si>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</si>
  <si>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</si>
  <si>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</si>
  <si>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</si>
  <si>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</si>
  <si>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</si>
  <si>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</si>
  <si>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</si>
  <si>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</si>
  <si>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</si>
  <si>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</si>
  <si>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</si>
  <si>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</si>
  <si>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</si>
  <si>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</si>
  <si>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</si>
  <si>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</si>
  <si>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</si>
  <si>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</si>
  <si>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</si>
  <si>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</si>
  <si>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</si>
  <si>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2.7x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</si>
  <si>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</si>
  <si>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</si>
  <si>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</si>
  <si>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</si>
  <si>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</si>
  <si>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</si>
  <si>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</si>
  <si>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</si>
  <si>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</si>
  <si>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</si>
  <si>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</si>
  <si>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</si>
  <si>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</si>
  <si>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</si>
  <si>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</si>
  <si>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</si>
  <si>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</si>
  <si>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</si>
  <si>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</si>
  <si>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</si>
  <si>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</si>
  <si>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</si>
  <si>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</si>
  <si>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</si>
  <si>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</si>
  <si>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</si>
  <si>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</si>
  <si>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</si>
  <si>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</si>
  <si>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</si>
  <si>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</si>
  <si>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</si>
  <si>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</si>
  <si>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</si>
  <si>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</si>
  <si>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</si>
  <si>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</si>
  <si>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</si>
  <si>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</si>
  <si>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</si>
  <si>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</si>
  <si>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</si>
  <si>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</si>
  <si>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</si>
  <si>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</si>
  <si>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</si>
  <si>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</si>
  <si>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</si>
  <si>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</si>
  <si>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</si>
  <si>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</si>
  <si>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</si>
  <si>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</si>
  <si>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</si>
  <si>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</si>
  <si>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</si>
  <si>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</si>
  <si>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</si>
  <si>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</si>
  <si>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</si>
  <si>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</si>
  <si>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</si>
  <si>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</si>
  <si>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</si>
  <si>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</si>
  <si>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</si>
  <si>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</si>
  <si>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</si>
  <si>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</si>
  <si>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</si>
  <si>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</si>
  <si>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</si>
  <si>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</si>
  <si>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</si>
  <si>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</si>
  <si>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</si>
  <si>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</si>
  <si>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</si>
  <si>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</si>
  <si>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</si>
  <si>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32.3% of revenue against depreciation of 14.2%.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</si>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</sst>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0.05242974153324975</v>
      </c>
    </row>
    <row r="7" spans="1:2" x14ac:dyDescent="0.25">
      <c r="A7" t="s">
        <v>4</v>
      </c>
      <c r="B7" s="5">
        <v>0.23230731580883907</v>
      </c>
    </row>
    <row r="8" spans="1:2" x14ac:dyDescent="0.25">
      <c r="A8" t="s">
        <v>5</v>
      </c>
      <c r="B8" s="5">
        <v>0.13015151861290727</v>
      </c>
    </row>
    <row r="9" spans="1:2" x14ac:dyDescent="0.25">
      <c r="A9" t="s">
        <v>6</v>
      </c>
      <c r="B9" s="5">
        <v>0.14187339264076493</v>
      </c>
    </row>
    <row r="10" spans="1:3" x14ac:dyDescent="0.25">
      <c r="A10" t="s">
        <v>7</v>
      </c>
      <c r="B10" s="5">
        <v>0.32342273981579184</v>
      </c>
      <c r="C10" s="6" t="s">
        <v>8</v>
      </c>
    </row>
    <row r="11" spans="1:2" x14ac:dyDescent="0.25">
      <c r="A11" t="s">
        <v>9</v>
      </c>
      <c r="B11" s="5">
        <v>0.15591215801665437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15.6933460445321</v>
      </c>
    </row>
    <row r="14" spans="1:3" x14ac:dyDescent="0.25">
      <c r="A14" t="s">
        <v>12</v>
      </c>
      <c r="B14" s="5">
        <v>0.0668689127168953</v>
      </c>
      <c r="C14" s="6" t="s">
        <v>13</v>
      </c>
    </row>
    <row r="15" spans="1:3" x14ac:dyDescent="0.25">
      <c r="A15" t="s">
        <v>14</v>
      </c>
      <c r="B15" s="5">
        <v>0.14187339264076493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0.6261399999999999</v>
      </c>
      <c r="C19" s="6" t="s">
        <v>21</v>
      </c>
    </row>
    <row r="20" spans="1:2" x14ac:dyDescent="0.25">
      <c r="A20" t="s">
        <v>22</v>
      </c>
      <c r="B20" s="9">
        <f>B17+B19*B18</f>
        <v>0.075425722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38186139648</v>
      </c>
    </row>
    <row r="23" spans="1:2" x14ac:dyDescent="0.25">
      <c r="A23" t="s">
        <v>26</v>
      </c>
      <c r="B23" s="10">
        <v>22314200000</v>
      </c>
    </row>
    <row r="24" spans="1:2" x14ac:dyDescent="0.25">
      <c r="A24" t="s">
        <v>27</v>
      </c>
      <c r="B24" s="9">
        <f>B22/(B22+B23)</f>
        <v>0.6311723185385844</v>
      </c>
    </row>
    <row r="25" spans="1:2" x14ac:dyDescent="0.25">
      <c r="A25" t="s">
        <v>28</v>
      </c>
      <c r="B25" s="9">
        <f>1-B24</f>
        <v>0.36882768146141565</v>
      </c>
    </row>
    <row r="26" spans="1:2" x14ac:dyDescent="0.25">
      <c r="A26" t="s">
        <v>29</v>
      </c>
      <c r="B26" s="11">
        <f>B24*B20+B25*B21*(1-B8)</f>
        <v>0.0668689127168953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9800100000</v>
      </c>
      <c r="C29" s="6" t="s">
        <v>32</v>
      </c>
    </row>
    <row r="30" spans="1:2" x14ac:dyDescent="0.25">
      <c r="A30" t="s">
        <v>33</v>
      </c>
      <c r="B30" s="10">
        <v>22286600000</v>
      </c>
    </row>
    <row r="31" spans="1:2" x14ac:dyDescent="0.25">
      <c r="A31" t="s">
        <v>34</v>
      </c>
      <c r="B31" s="12">
        <v>323800000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0.05242974153324975</v>
      </c>
      <c r="C5" s="5">
        <v>0.05312693474329988</v>
      </c>
      <c r="D5" s="5">
        <v>0.0496110679003874</v>
      </c>
      <c r="E5" s="5">
        <v>0.04609520105747491</v>
      </c>
      <c r="F5" s="5">
        <v>0.04257933421456243</v>
      </c>
      <c r="G5" s="5">
        <v>0.03906346737164994</v>
      </c>
      <c r="H5" s="5">
        <v>0.035547600528737455</v>
      </c>
      <c r="I5" s="5">
        <v>0.03203173368582497</v>
      </c>
      <c r="J5" s="5">
        <v>0.028515866842912487</v>
      </c>
      <c r="K5" s="5">
        <v>0.025</v>
      </c>
    </row>
    <row r="6" spans="1:11" x14ac:dyDescent="0.25">
      <c r="A6" t="s">
        <v>50</v>
      </c>
      <c r="B6" s="18">
        <f>Assumptions!B29*(1+B5)</f>
        <v>10313916710</v>
      </c>
      <c r="C6" s="18">
        <f>B6*(1+C5)</f>
        <v>10861863490</v>
      </c>
      <c r="D6" s="18">
        <f>C6*(1+D5)</f>
        <v>11400732137.127129</v>
      </c>
      <c r="E6" s="18">
        <f>D6*(1+E5)</f>
        <v>11926251177.190418</v>
      </c>
      <c r="F6" s="18">
        <f>E6*(1+F5)</f>
        <v>12434063011.990828</v>
      </c>
      <c r="G6" s="18">
        <f>F6*(1+G5)</f>
        <v>12919780626.75677</v>
      </c>
      <c r="H6" s="18">
        <f>G6*(1+H5)</f>
        <v>13379047827.39564</v>
      </c>
      <c r="I6" s="18">
        <f>H6*(1+I5)</f>
        <v>13807601924.37269</v>
      </c>
      <c r="J6" s="18">
        <f>I6*(1+J5)</f>
        <v>14201337662.268044</v>
      </c>
      <c r="K6" s="18">
        <f>J6*(1+K5)</f>
        <v>14556371103.824743</v>
      </c>
    </row>
    <row r="7" spans="1:11" x14ac:dyDescent="0.25">
      <c r="A7" t="s">
        <v>4</v>
      </c>
      <c r="B7" s="9">
        <f>Assumptions!B7</f>
        <v>0.23230731580883907</v>
      </c>
      <c r="C7" s="9">
        <f>Assumptions!B7</f>
        <v>0.23230731580883907</v>
      </c>
      <c r="D7" s="9">
        <f>Assumptions!B7</f>
        <v>0.23230731580883907</v>
      </c>
      <c r="E7" s="9">
        <f>Assumptions!B7</f>
        <v>0.23230731580883907</v>
      </c>
      <c r="F7" s="9">
        <f>Assumptions!B7</f>
        <v>0.23230731580883907</v>
      </c>
      <c r="G7" s="9">
        <f>Assumptions!B7</f>
        <v>0.23230731580883907</v>
      </c>
      <c r="H7" s="9">
        <f>Assumptions!B7</f>
        <v>0.23230731580883907</v>
      </c>
      <c r="I7" s="9">
        <f>Assumptions!B7</f>
        <v>0.23230731580883907</v>
      </c>
      <c r="J7" s="9">
        <f>Assumptions!B7</f>
        <v>0.23230731580883907</v>
      </c>
      <c r="K7" s="9">
        <f>Assumptions!B7</f>
        <v>0.23230731580883907</v>
      </c>
    </row>
    <row r="8" spans="1:11" x14ac:dyDescent="0.25">
      <c r="A8" t="s">
        <v>51</v>
      </c>
      <c r="B8" s="18">
        <f>B6*B7</f>
        <v>2395998306.3760324</v>
      </c>
      <c r="C8" s="18">
        <f>C6*C7</f>
        <v>2523290352.043929</v>
      </c>
      <c r="D8" s="18">
        <f>D6*D7</f>
        <v>2648473481.031573</v>
      </c>
      <c r="E8" s="18">
        <f>E6*E7</f>
        <v>2770555398.6351132</v>
      </c>
      <c r="F8" s="18">
        <f>F6*F7</f>
        <v>2888523802.913558</v>
      </c>
      <c r="G8" s="18">
        <f>G6*G7</f>
        <v>3001359558.2409053</v>
      </c>
      <c r="H8" s="18">
        <f>H6*H7</f>
        <v>3108050688.860361</v>
      </c>
      <c r="I8" s="18">
        <f>I6*I7</f>
        <v>3207606940.8079805</v>
      </c>
      <c r="J8" s="18">
        <f>J6*J7</f>
        <v>3299074633.2164626</v>
      </c>
      <c r="K8" s="18">
        <f>K6*K7</f>
        <v>3381551499.046874</v>
      </c>
    </row>
    <row r="9" spans="1:11" x14ac:dyDescent="0.25">
      <c r="A9" t="s">
        <v>52</v>
      </c>
      <c r="B9" s="18">
        <f>B8*(1-Assumptions!B8)</f>
        <v>2084155488.2072377</v>
      </c>
      <c r="C9" s="18">
        <f>C8*(1-Assumptions!B8)</f>
        <v>2194880280.8241143</v>
      </c>
      <c r="D9" s="18">
        <f>D8*(1-Assumptions!B8)</f>
        <v>2303770635.4693007</v>
      </c>
      <c r="E9" s="18">
        <f>E8*(1-Assumptions!B8)</f>
        <v>2409963406.1015644</v>
      </c>
      <c r="F9" s="18">
        <f>F8*(1-Assumptions!B8)</f>
        <v>2512578043.4148283</v>
      </c>
      <c r="G9" s="18">
        <f>G8*(1-Assumptions!B8)</f>
        <v>2610728053.8324866</v>
      </c>
      <c r="H9" s="18">
        <f>H8*(1-Assumptions!B8)</f>
        <v>2703533171.7792926</v>
      </c>
      <c r="I9" s="18">
        <f>I8*(1-Assumptions!B8)</f>
        <v>2790132026.34852</v>
      </c>
      <c r="J9" s="18">
        <f>J8*(1-Assumptions!B8)</f>
        <v>2869695059.68602</v>
      </c>
      <c r="K9" s="18">
        <f>K8*(1-Assumptions!B8)</f>
        <v>2941437436.17817</v>
      </c>
    </row>
    <row r="10" spans="1:11" x14ac:dyDescent="0.25">
      <c r="A10" t="s">
        <v>53</v>
      </c>
      <c r="B10" s="18">
        <f>B6*Assumptions!B9</f>
        <v>1463270355.0619764</v>
      </c>
      <c r="C10" s="18">
        <f>C6*Assumptions!B9</f>
        <v>1541009423.7271593</v>
      </c>
      <c r="D10" s="18">
        <f>D6*Assumptions!B9</f>
        <v>1617460546.8828242</v>
      </c>
      <c r="E10" s="18">
        <f>E6*Assumptions!B9</f>
        <v>1692017715.993921</v>
      </c>
      <c r="F10" s="18">
        <f>F6*Assumptions!B9</f>
        <v>1764062703.8201869</v>
      </c>
      <c r="G10" s="18">
        <f>G6*Assumptions!B9</f>
        <v>1832973109.6924112</v>
      </c>
      <c r="H10" s="18">
        <f>H6*Assumptions!B9</f>
        <v>1898130905.5756745</v>
      </c>
      <c r="I10" s="18">
        <f>I6*Assumptions!B9</f>
        <v>1958931329.2439082</v>
      </c>
      <c r="J10" s="18">
        <f>J6*Assumptions!B9</f>
        <v>2014791954.1830368</v>
      </c>
      <c r="K10" s="18">
        <f>K6*Assumptions!B9</f>
        <v>2065161753.0376127</v>
      </c>
    </row>
    <row r="11" spans="1:11" x14ac:dyDescent="0.25">
      <c r="A11" t="s">
        <v>54</v>
      </c>
      <c r="B11" s="18">
        <f>-B6*B19</f>
        <v>-3335755200.5800776</v>
      </c>
      <c r="C11" s="18">
        <f>-C6*C19</f>
        <v>-3385043256.242696</v>
      </c>
      <c r="D11" s="18">
        <f>-D6*D19</f>
        <v>-3418701710.4521976</v>
      </c>
      <c r="E11" s="18">
        <f>-E6*E19</f>
        <v>-3435820763.9974184</v>
      </c>
      <c r="F11" s="18">
        <f>-F6*F19</f>
        <v>-3435668057.351907</v>
      </c>
      <c r="G11" s="18">
        <f>-G6*G19</f>
        <v>-3417708743.481449</v>
      </c>
      <c r="H11" s="18">
        <f>-H6*H19</f>
        <v>-3381622445.4493985</v>
      </c>
      <c r="I11" s="18">
        <f>-I6*I19</f>
        <v>-3327316546.7783117</v>
      </c>
      <c r="J11" s="18">
        <f>-J6*J19</f>
        <v>-3254935337.5976815</v>
      </c>
      <c r="K11" s="18">
        <f>-K6*K19</f>
        <v>-3164864633.1455235</v>
      </c>
    </row>
    <row r="12" spans="1:11" x14ac:dyDescent="0.25">
      <c r="A12" t="s">
        <v>55</v>
      </c>
      <c r="B12" s="18">
        <f>-(B6-Assumptions!B29)*Assumptions!B11</f>
        <v>-80110272.08111747</v>
      </c>
      <c r="C12" s="18">
        <f>-(C6-B6)*Assumptions!B11</f>
        <v>-85431564.94807695</v>
      </c>
      <c r="D12" s="18">
        <f>-(D6-C6)*Assumptions!B11</f>
        <v>-84016173.66110563</v>
      </c>
      <c r="E12" s="18">
        <f>-(E6-D6)*Assumptions!B11</f>
        <v>-81934807.61510813</v>
      </c>
      <c r="F12" s="18">
        <f>-(F6-E6)*Assumptions!B11</f>
        <v>-79174039.0301286</v>
      </c>
      <c r="G12" s="18">
        <f>-(G6-F6)*Assumptions!B11</f>
        <v>-75729281.50485994</v>
      </c>
      <c r="H12" s="18">
        <f>-(H6-G6)*Assumptions!B11</f>
        <v>-71605340.35787404</v>
      </c>
      <c r="I12" s="18">
        <f>-(I6-H6)*Assumptions!B11</f>
        <v>-66816794.08657056</v>
      </c>
      <c r="J12" s="18">
        <f>-(J6-I6)*Assumptions!B11</f>
        <v>-61388188.583544336</v>
      </c>
      <c r="K12" s="18">
        <f>-(K6-J6)*Assumptions!B11</f>
        <v>-55354030.0411848</v>
      </c>
    </row>
    <row r="13" spans="1:11" x14ac:dyDescent="0.25">
      <c r="A13" s="19" t="s">
        <v>56</v>
      </c>
      <c r="B13" s="20">
        <f>B9+B10+B11+B12</f>
        <v>131560370.60801904</v>
      </c>
      <c r="C13" s="20">
        <f>C9+C10+C11+C12</f>
        <v>265414883.36050057</v>
      </c>
      <c r="D13" s="20">
        <f>D9+D10+D11+D12</f>
        <v>418513298.238822</v>
      </c>
      <c r="E13" s="20">
        <f>E9+E10+E11+E12</f>
        <v>584225550.4829592</v>
      </c>
      <c r="F13" s="20">
        <f>F9+F10+F11+F12</f>
        <v>761798650.8529795</v>
      </c>
      <c r="G13" s="20">
        <f>G9+G10+G11+G12</f>
        <v>950263138.5385885</v>
      </c>
      <c r="H13" s="20">
        <f>H9+H10+H11+H12</f>
        <v>1148436291.5476947</v>
      </c>
      <c r="I13" s="20">
        <f>I9+I10+I11+I12</f>
        <v>1354930014.727546</v>
      </c>
      <c r="J13" s="20">
        <f>J9+J10+J11+J12</f>
        <v>1568163487.687831</v>
      </c>
      <c r="K13" s="20">
        <f>K9+K10+K11+K12</f>
        <v>1786380526.0290747</v>
      </c>
    </row>
    <row r="14" spans="1:11" x14ac:dyDescent="0.25">
      <c r="A14" t="s">
        <v>57</v>
      </c>
      <c r="B14" s="21">
        <f>1/(1+Assumptions!$B$26)^(1-0.5*Assumptions!$B$32)</f>
        <v>0.9681540571517756</v>
      </c>
      <c r="C14" s="21">
        <f>1/(1+Assumptions!$B$26)^(2-0.5*Assumptions!$B$32)</f>
        <v>0.9074723666718042</v>
      </c>
      <c r="D14" s="21">
        <f>1/(1+Assumptions!$B$26)^(3-0.5*Assumptions!$B$32)</f>
        <v>0.8505940662952013</v>
      </c>
      <c r="E14" s="21">
        <f>1/(1+Assumptions!$B$26)^(4-0.5*Assumptions!$B$32)</f>
        <v>0.7972807681958536</v>
      </c>
      <c r="F14" s="21">
        <f>1/(1+Assumptions!$B$26)^(5-0.5*Assumptions!$B$32)</f>
        <v>0.7473090261534504</v>
      </c>
      <c r="G14" s="21">
        <f>1/(1+Assumptions!$B$26)^(6-0.5*Assumptions!$B$32)</f>
        <v>0.7004693990476754</v>
      </c>
      <c r="H14" s="21">
        <f>1/(1+Assumptions!$B$26)^(7-0.5*Assumptions!$B$32)</f>
        <v>0.6565655730504467</v>
      </c>
      <c r="I14" s="21">
        <f>1/(1+Assumptions!$B$26)^(8-0.5*Assumptions!$B$32)</f>
        <v>0.6154135388371497</v>
      </c>
      <c r="J14" s="21">
        <f>1/(1+Assumptions!$B$26)^(9-0.5*Assumptions!$B$32)</f>
        <v>0.5768408203683932</v>
      </c>
      <c r="K14" s="21">
        <f>1/(1+Assumptions!$B$26)^(10-0.5*Assumptions!$B$32)</f>
        <v>0.5406857520099697</v>
      </c>
    </row>
    <row r="15" spans="1:11" x14ac:dyDescent="0.25">
      <c r="A15" s="19" t="s">
        <v>58</v>
      </c>
      <c r="B15" s="20">
        <f>B13*B14</f>
        <v>127370706.56454484</v>
      </c>
      <c r="C15" s="20">
        <f>C13*C14</f>
        <v>240856672.3530743</v>
      </c>
      <c r="D15" s="20">
        <f>D13*D14</f>
        <v>355984928.1475759</v>
      </c>
      <c r="E15" s="20">
        <f>E13*E14</f>
        <v>465791795.6886991</v>
      </c>
      <c r="F15" s="20">
        <f>F13*F14</f>
        <v>569299007.8939525</v>
      </c>
      <c r="G15" s="20">
        <f>G13*G14</f>
        <v>665630249.589283</v>
      </c>
      <c r="H15" s="20">
        <f>H13*H14</f>
        <v>754023731.871942</v>
      </c>
      <c r="I15" s="20">
        <f>I13*I14</f>
        <v>833842275.2401503</v>
      </c>
      <c r="J15" s="20">
        <f>J13*J14</f>
        <v>904580712.7096092</v>
      </c>
      <c r="K15" s="20">
        <f>K13*K14</f>
        <v>965870498.0919955</v>
      </c>
    </row>
    <row r="17" spans="1:2" x14ac:dyDescent="0.25">
      <c r="A17" s="22" t="s">
        <v>59</v>
      </c>
      <c r="B17" s="23">
        <f>SUM(B15:K15)</f>
        <v>5883250578.150826</v>
      </c>
    </row>
    <row r="19" spans="1:11" x14ac:dyDescent="0.25">
      <c r="A19" t="s">
        <v>7</v>
      </c>
      <c r="B19" s="9">
        <f>Assumptions!$B$10+($B$20-Assumptions!$B$10)*0/9</f>
        <v>0.32342273981579184</v>
      </c>
      <c r="C19" s="9">
        <f>Assumptions!$B$10+($B$20-Assumptions!$B$10)*1/9</f>
        <v>0.3116447982760181</v>
      </c>
      <c r="D19" s="9">
        <f>Assumptions!$B$10+($B$20-Assumptions!$B$10)*2/9</f>
        <v>0.29986685673624436</v>
      </c>
      <c r="E19" s="9">
        <f>Assumptions!$B$10+($B$20-Assumptions!$B$10)*3/9</f>
        <v>0.2880889151964706</v>
      </c>
      <c r="F19" s="9">
        <f>Assumptions!$B$10+($B$20-Assumptions!$B$10)*4/9</f>
        <v>0.2763109736566969</v>
      </c>
      <c r="G19" s="9">
        <f>Assumptions!$B$10+($B$20-Assumptions!$B$10)*5/9</f>
        <v>0.2645330321169231</v>
      </c>
      <c r="H19" s="9">
        <f>Assumptions!$B$10+($B$20-Assumptions!$B$10)*6/9</f>
        <v>0.2527550905771494</v>
      </c>
      <c r="I19" s="9">
        <f>Assumptions!$B$10+($B$20-Assumptions!$B$10)*7/9</f>
        <v>0.2409771490373756</v>
      </c>
      <c r="J19" s="9">
        <f>Assumptions!$B$10+($B$20-Assumptions!$B$10)*8/9</f>
        <v>0.22919920749760186</v>
      </c>
      <c r="K19" s="9">
        <f>Assumptions!$B$10+($B$20-Assumptions!$B$10)*9/9</f>
        <v>0.21742126595782812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0.21742126595782812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1786380526.0290747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2941437436.17817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0.37386580675901177</v>
      </c>
    </row>
    <row r="7" spans="1:2" x14ac:dyDescent="0.25">
      <c r="A7" t="s">
        <v>66</v>
      </c>
      <c r="B7" s="18">
        <f>-MAX(B5,0)*B6</f>
        <v>-1099702880.1079109</v>
      </c>
    </row>
    <row r="8" spans="1:2" x14ac:dyDescent="0.25">
      <c r="A8" t="s">
        <v>67</v>
      </c>
      <c r="B8" s="18">
        <f>IF(OR(Assumptions!$B$33=0,Assumptions!B12&lt;=0),B5,MAX(B5+B7,0))</f>
        <v>1841734556.0702593</v>
      </c>
    </row>
    <row r="9" spans="1:2" x14ac:dyDescent="0.25">
      <c r="A9" t="s">
        <v>68</v>
      </c>
      <c r="B9" s="18">
        <f>B8*(1+Assumptions!B12)/(Assumptions!B26-Assumptions!B12)</f>
        <v>45087818084.42433</v>
      </c>
    </row>
    <row r="10" spans="1:2" x14ac:dyDescent="0.25">
      <c r="A10" t="s">
        <v>69</v>
      </c>
      <c r="B10" s="18">
        <f>B9/(1+Assumptions!B26)^(10-0.5*Assumptions!B32)</f>
        <v>24378340827.465683</v>
      </c>
    </row>
    <row r="11" spans="1:2" x14ac:dyDescent="0.25">
      <c r="A11" t="s">
        <v>70</v>
      </c>
      <c r="B11" s="18">
        <f>Forecast!B17+B10</f>
        <v>30261591405.61651</v>
      </c>
    </row>
    <row r="12" spans="1:2" x14ac:dyDescent="0.25">
      <c r="A12" t="s">
        <v>71</v>
      </c>
      <c r="B12" s="18">
        <f>-Assumptions!B30</f>
        <v>-22286600000</v>
      </c>
    </row>
    <row r="13" spans="1:2" x14ac:dyDescent="0.25">
      <c r="A13" t="s">
        <v>72</v>
      </c>
      <c r="B13" s="18">
        <f>B11+B12</f>
        <v>7974991405.6165085</v>
      </c>
    </row>
    <row r="14" spans="1:2" x14ac:dyDescent="0.25">
      <c r="A14" s="19" t="s">
        <v>73</v>
      </c>
      <c r="B14" s="24">
        <f>B13/Assumptions!B31</f>
        <v>24.62937432247223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5446713252.084487</v>
      </c>
    </row>
    <row r="18" spans="1:2" x14ac:dyDescent="0.25">
      <c r="A18" t="s">
        <v>68</v>
      </c>
      <c r="B18" s="18">
        <f>B17*Assumptions!B13</f>
        <v>85477155870.30066</v>
      </c>
    </row>
    <row r="19" spans="1:2" x14ac:dyDescent="0.25">
      <c r="A19" t="s">
        <v>69</v>
      </c>
      <c r="B19" s="18">
        <f>B18/(1+Assumptions!B26)^(10-0.5*Assumptions!B32)</f>
        <v>46216280301.406906</v>
      </c>
    </row>
    <row r="20" spans="1:2" x14ac:dyDescent="0.25">
      <c r="A20" t="s">
        <v>70</v>
      </c>
      <c r="B20" s="18">
        <f>Forecast!B17+B19</f>
        <v>52099530879.55773</v>
      </c>
    </row>
    <row r="21" spans="1:2" x14ac:dyDescent="0.25">
      <c r="A21" t="s">
        <v>71</v>
      </c>
      <c r="B21" s="18">
        <f>-Assumptions!B30</f>
        <v>-22286600000</v>
      </c>
    </row>
    <row r="22" spans="1:2" x14ac:dyDescent="0.25">
      <c r="A22" t="s">
        <v>72</v>
      </c>
      <c r="B22" s="18">
        <f>B20+B21</f>
        <v>29812930879.55773</v>
      </c>
    </row>
    <row r="23" spans="1:2" x14ac:dyDescent="0.25">
      <c r="A23" s="19" t="s">
        <v>73</v>
      </c>
      <c r="B23" s="25">
        <f>B22/Assumptions!B31</f>
        <v>92.0720533649096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116.07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24.62937432247223</v>
      </c>
    </row>
    <row r="29" spans="1:2" x14ac:dyDescent="0.25">
      <c r="A29" s="19" t="s">
        <v>81</v>
      </c>
      <c r="B29" s="11">
        <f>B28/B26-1</f>
        <v>-0.787805855755387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0.046869</v>
      </c>
      <c r="B5" s="31">
        <v>94.4295620560327</v>
      </c>
      <c r="C5" s="31">
        <v>99.42143089309124</v>
      </c>
      <c r="D5" s="31">
        <v>107.66398761180041</v>
      </c>
      <c r="E5" s="31">
        <v>122.04776029472359</v>
      </c>
      <c r="F5" s="31">
        <v>150.33399584245961</v>
      </c>
    </row>
    <row r="6" spans="1:6" x14ac:dyDescent="0.25">
      <c r="A6" s="30">
        <v>0.056869</v>
      </c>
      <c r="B6" s="31">
        <v>50.60737667595961</v>
      </c>
      <c r="C6" s="31">
        <v>49.09998825441154</v>
      </c>
      <c r="D6" s="31">
        <v>47.746411287476775</v>
      </c>
      <c r="E6" s="31">
        <v>46.63251319929468</v>
      </c>
      <c r="F6" s="31">
        <v>45.92269031257269</v>
      </c>
    </row>
    <row r="7" spans="1:6" x14ac:dyDescent="0.25">
      <c r="A7" s="30">
        <v>0.066869</v>
      </c>
      <c r="B7" s="31">
        <v>27.92590002273312</v>
      </c>
      <c r="C7" s="31">
        <v>26.27756065799195</v>
      </c>
      <c r="D7" s="32">
        <v>24.629221293250737</v>
      </c>
      <c r="E7" s="31">
        <v>22.980881928509554</v>
      </c>
      <c r="F7" s="31">
        <v>21.332542563768378</v>
      </c>
    </row>
    <row r="8" spans="1:6" x14ac:dyDescent="0.25">
      <c r="A8" s="30">
        <v>0.076869</v>
      </c>
      <c r="B8" s="31">
        <v>12.186902943748418</v>
      </c>
      <c r="C8" s="31">
        <v>10.831519343126661</v>
      </c>
      <c r="D8" s="31">
        <v>9.476135742504882</v>
      </c>
      <c r="E8" s="31">
        <v>8.120752141883125</v>
      </c>
      <c r="F8" s="31">
        <v>6.765368541261345</v>
      </c>
    </row>
    <row r="9" spans="1:6" x14ac:dyDescent="0.25">
      <c r="A9" s="30">
        <v>0.086869</v>
      </c>
      <c r="B9" s="31">
        <v>0.24653607795649357</v>
      </c>
      <c r="C9" s="31">
        <v>-0.8881260120078942</v>
      </c>
      <c r="D9" s="31">
        <v>-2.0227881019722935</v>
      </c>
      <c r="E9" s="31">
        <v>-3.157450191936693</v>
      </c>
      <c r="F9" s="31">
        <v>-4.292112281901093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9800100000</v>
      </c>
      <c r="C5" s="18">
        <v>8599900000</v>
      </c>
      <c r="D5" s="18">
        <v>8893000000</v>
      </c>
      <c r="E5" s="18">
        <v>9597400000</v>
      </c>
      <c r="F5" s="6" t="s">
        <v>91</v>
      </c>
    </row>
    <row r="6" spans="1:6" x14ac:dyDescent="0.25">
      <c r="A6" t="s">
        <v>51</v>
      </c>
      <c r="B6" s="18">
        <v>2374900000</v>
      </c>
      <c r="C6" s="18">
        <v>2164900000</v>
      </c>
      <c r="D6" s="18">
        <v>2086900000</v>
      </c>
      <c r="E6" s="18">
        <v>1924200000</v>
      </c>
      <c r="F6" s="6" t="s">
        <v>92</v>
      </c>
    </row>
    <row r="7" spans="1:6" x14ac:dyDescent="0.25">
      <c r="A7" t="s">
        <v>93</v>
      </c>
      <c r="B7" s="18">
        <v>1478500000</v>
      </c>
      <c r="C7" s="18">
        <v>1354500000</v>
      </c>
      <c r="D7" s="18">
        <v>1264200000</v>
      </c>
      <c r="E7" s="18">
        <v>1122600000</v>
      </c>
      <c r="F7" s="6" t="s">
        <v>94</v>
      </c>
    </row>
    <row r="8" spans="1:6" x14ac:dyDescent="0.25">
      <c r="A8" t="s">
        <v>95</v>
      </c>
      <c r="B8" s="18">
        <v>4398100000</v>
      </c>
      <c r="C8" s="18">
        <v>2781100000</v>
      </c>
      <c r="D8" s="18">
        <v>2492900000</v>
      </c>
      <c r="E8" s="18">
        <v>2314900000</v>
      </c>
      <c r="F8" s="6" t="s">
        <v>96</v>
      </c>
    </row>
    <row r="9" spans="1:6" x14ac:dyDescent="0.25">
      <c r="A9" t="s">
        <v>97</v>
      </c>
      <c r="B9" s="18">
        <v>203400000</v>
      </c>
      <c r="C9" s="18">
        <v>79300000</v>
      </c>
      <c r="D9" s="18">
        <v>-234400000</v>
      </c>
      <c r="E9" s="18">
        <v>340800000</v>
      </c>
      <c r="F9" s="6" t="s">
        <v>98</v>
      </c>
    </row>
    <row r="10" spans="1:6" x14ac:dyDescent="0.25">
      <c r="A10" t="s">
        <v>99</v>
      </c>
      <c r="B10" s="18">
        <v>22314200000</v>
      </c>
      <c r="C10" s="18">
        <v>20327000000</v>
      </c>
      <c r="D10" s="18">
        <v>18797900000</v>
      </c>
      <c r="E10" s="18">
        <v>17294500000</v>
      </c>
      <c r="F10" s="6" t="s">
        <v>100</v>
      </c>
    </row>
    <row r="11" spans="1:6" x14ac:dyDescent="0.25">
      <c r="A11" t="s">
        <v>101</v>
      </c>
      <c r="B11" s="18">
        <v>27600000</v>
      </c>
      <c r="C11" s="18">
        <v>9800000</v>
      </c>
      <c r="D11" s="18">
        <v>42900000</v>
      </c>
      <c r="E11" s="18">
        <v>28900000</v>
      </c>
      <c r="F11" s="6" t="s">
        <v>102</v>
      </c>
    </row>
    <row r="12" spans="1:6" x14ac:dyDescent="0.25">
      <c r="A12" t="s">
        <v>34</v>
      </c>
      <c r="B12" s="34">
        <v>323800000</v>
      </c>
      <c r="C12" s="34">
        <v>316500000</v>
      </c>
      <c r="D12" s="34">
        <v>315900000</v>
      </c>
      <c r="E12" s="34">
        <v>316100000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