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<sst xmlns="http://schemas.openxmlformats.org/spreadsheetml/2006/main" count="112" uniqueCount="100">
  <si>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Weir PLC (WEIR.L)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</si>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</sst>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0.0123069603044208</v>
      </c>
    </row>
    <row r="7" spans="1:2" x14ac:dyDescent="0.25">
      <c r="A7" t="s">
        <v>5</v>
      </c>
      <c r="B7" s="6">
        <v>0.15612036568615767</v>
      </c>
    </row>
    <row r="8" spans="1:2" x14ac:dyDescent="0.25">
      <c r="A8" t="s">
        <v>6</v>
      </c>
      <c r="B8" s="6">
        <v>0.23303342731011883</v>
      </c>
    </row>
    <row r="9" spans="1:2" x14ac:dyDescent="0.25">
      <c r="A9" t="s">
        <v>7</v>
      </c>
      <c r="B9" s="6">
        <v>0.04490357077917344</v>
      </c>
    </row>
    <row r="10" spans="1:2" x14ac:dyDescent="0.25">
      <c r="A10" t="s">
        <v>8</v>
      </c>
      <c r="B10" s="6">
        <v>0.0281532599158298</v>
      </c>
    </row>
    <row r="11" spans="1:2" x14ac:dyDescent="0.25">
      <c r="A11" t="s">
        <v>9</v>
      </c>
      <c r="B11" s="6">
        <v>0.17144600366076876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15.20225156626506</v>
      </c>
    </row>
    <row r="14" spans="1:3" x14ac:dyDescent="0.25">
      <c r="A14" t="s">
        <v>12</v>
      </c>
      <c r="B14" s="6">
        <v>0.09812414372680295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1.05695</v>
      </c>
      <c r="C19" s="8" t="s">
        <v>19</v>
      </c>
    </row>
    <row r="20" spans="1:2" x14ac:dyDescent="0.25">
      <c r="A20" t="s">
        <v>20</v>
      </c>
      <c r="B20" s="10">
        <f>B17+B19*B18</f>
        <v>0.10313225000000001</v>
      </c>
    </row>
    <row r="21" spans="1:3" x14ac:dyDescent="0.25">
      <c r="A21" t="s">
        <v>21</v>
      </c>
      <c r="B21" s="6">
        <v>0.054426503340757236</v>
      </c>
      <c r="C21" s="8" t="s">
        <v>22</v>
      </c>
    </row>
    <row r="22" spans="1:2" x14ac:dyDescent="0.25">
      <c r="A22" t="s">
        <v>23</v>
      </c>
      <c r="B22" s="11">
        <v>6801836032</v>
      </c>
    </row>
    <row r="23" spans="1:2" x14ac:dyDescent="0.25">
      <c r="A23" t="s">
        <v>24</v>
      </c>
      <c r="B23" s="11">
        <v>1782600000</v>
      </c>
    </row>
    <row r="24" spans="1:2" x14ac:dyDescent="0.25">
      <c r="A24" t="s">
        <v>25</v>
      </c>
      <c r="B24" s="10">
        <f>B22/(B22+B23)</f>
        <v>0.7923451239714474</v>
      </c>
    </row>
    <row r="25" spans="1:2" x14ac:dyDescent="0.25">
      <c r="A25" t="s">
        <v>26</v>
      </c>
      <c r="B25" s="10">
        <f>1-B24</f>
        <v>0.2076548760285526</v>
      </c>
    </row>
    <row r="26" spans="1:2" x14ac:dyDescent="0.25">
      <c r="A26" t="s">
        <v>27</v>
      </c>
      <c r="B26" s="12">
        <f>B24*B20+B25*B21*(1-B8)</f>
        <v>0.09038453701121082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2564500000</v>
      </c>
      <c r="C29" s="8" t="s">
        <v>30</v>
      </c>
    </row>
    <row r="30" spans="1:2" x14ac:dyDescent="0.25">
      <c r="A30" t="s">
        <v>31</v>
      </c>
      <c r="B30" s="11">
        <v>1273600000</v>
      </c>
    </row>
    <row r="31" spans="1:2" x14ac:dyDescent="0.25">
      <c r="A31" t="s">
        <v>32</v>
      </c>
      <c r="B31" s="13">
        <v>259700000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0.0123069603044208</v>
      </c>
      <c r="C5" s="10">
        <f>Assumptions!B6</f>
        <v>0.0123069603044208</v>
      </c>
      <c r="D5" s="10">
        <f>Assumptions!B6</f>
        <v>0.0123069603044208</v>
      </c>
      <c r="E5" s="10">
        <f>Assumptions!B6</f>
        <v>0.0123069603044208</v>
      </c>
      <c r="F5" s="10">
        <f>Assumptions!B6</f>
        <v>0.0123069603044208</v>
      </c>
    </row>
    <row r="6" spans="1:6" x14ac:dyDescent="0.25">
      <c r="A6" t="s">
        <v>43</v>
      </c>
      <c r="B6" s="18">
        <f>Assumptions!B29*(1+B5)</f>
        <v>2596061199.700687</v>
      </c>
      <c r="C6" s="18">
        <f>B6*(1+C5)</f>
        <v>2628010821.8332505</v>
      </c>
      <c r="D6" s="18">
        <f>C6*(1+D5)</f>
        <v>2660353646.6971407</v>
      </c>
      <c r="E6" s="18">
        <f>D6*(1+E5)</f>
        <v>2693094513.4227633</v>
      </c>
      <c r="F6" s="18">
        <f>E6*(1+F5)</f>
        <v>2726238320.695511</v>
      </c>
    </row>
    <row r="7" spans="1:6" x14ac:dyDescent="0.25">
      <c r="A7" t="s">
        <v>5</v>
      </c>
      <c r="B7" s="10">
        <f>Assumptions!B7</f>
        <v>0.15612036568615767</v>
      </c>
      <c r="C7" s="10">
        <f>Assumptions!B7</f>
        <v>0.15612036568615767</v>
      </c>
      <c r="D7" s="10">
        <f>Assumptions!B7</f>
        <v>0.15612036568615767</v>
      </c>
      <c r="E7" s="10">
        <f>Assumptions!B7</f>
        <v>0.15612036568615767</v>
      </c>
      <c r="F7" s="10">
        <f>Assumptions!B7</f>
        <v>0.15612036568615767</v>
      </c>
    </row>
    <row r="8" spans="1:6" x14ac:dyDescent="0.25">
      <c r="A8" t="s">
        <v>44</v>
      </c>
      <c r="B8" s="18">
        <f>B6*B7</f>
        <v>405298023.84091645</v>
      </c>
      <c r="C8" s="18">
        <f>C6*C7</f>
        <v>410286010.5317868</v>
      </c>
      <c r="D8" s="18">
        <f>D6*D7</f>
        <v>415335384.1768607</v>
      </c>
      <c r="E8" s="18">
        <f>E6*E7</f>
        <v>420446900.26294667</v>
      </c>
      <c r="F8" s="18">
        <f>F6*F7</f>
        <v>425621323.57459956</v>
      </c>
    </row>
    <row r="9" spans="1:6" x14ac:dyDescent="0.25">
      <c r="A9" t="s">
        <v>45</v>
      </c>
      <c r="B9" s="18">
        <f>B8*(1-Assumptions!B8)</f>
        <v>310850036.2632494</v>
      </c>
      <c r="C9" s="18">
        <f>C8*(1-Assumptions!B8)</f>
        <v>314675655.320169</v>
      </c>
      <c r="D9" s="18">
        <f>D8*(1-Assumptions!B8)</f>
        <v>318548356.11896193</v>
      </c>
      <c r="E9" s="18">
        <f>E8*(1-Assumptions!B8)</f>
        <v>322468718.09275645</v>
      </c>
      <c r="F9" s="18">
        <f>F8*(1-Assumptions!B8)</f>
        <v>326437327.80574155</v>
      </c>
    </row>
    <row r="10" spans="1:6" x14ac:dyDescent="0.25">
      <c r="A10" t="s">
        <v>46</v>
      </c>
      <c r="B10" s="18">
        <f>B6*Assumptions!B9</f>
        <v>116572417.82782571</v>
      </c>
      <c r="C10" s="18">
        <f>C6*Assumptions!B9</f>
        <v>118007069.94662312</v>
      </c>
      <c r="D10" s="18">
        <f>D6*Assumptions!B9</f>
        <v>119459378.27209723</v>
      </c>
      <c r="E10" s="18">
        <f>E6*Assumptions!B9</f>
        <v>120929560.0984827</v>
      </c>
      <c r="F10" s="18">
        <f>F6*Assumptions!B9</f>
        <v>122417835.3942458</v>
      </c>
    </row>
    <row r="11" spans="1:6" x14ac:dyDescent="0.25">
      <c r="A11" t="s">
        <v>47</v>
      </c>
      <c r="B11" s="18">
        <f>-B6*Assumptions!B10</f>
        <v>-73087585.71257438</v>
      </c>
      <c r="C11" s="18">
        <f>-C6*Assumptions!B10</f>
        <v>-73987071.72868499</v>
      </c>
      <c r="D11" s="18">
        <f>-D6*Assumptions!B10</f>
        <v>-74897627.68349025</v>
      </c>
      <c r="E11" s="18">
        <f>-E6*Assumptions!B10</f>
        <v>-75819389.81428625</v>
      </c>
      <c r="F11" s="18">
        <f>-F6*Assumptions!B10</f>
        <v>-76752496.03503607</v>
      </c>
    </row>
    <row r="12" spans="1:6" x14ac:dyDescent="0.25">
      <c r="A12" t="s">
        <v>48</v>
      </c>
      <c r="B12" s="18">
        <f>-(B6-Assumptions!B29)*Assumptions!B11</f>
        <v>-5411041.559422226</v>
      </c>
      <c r="C12" s="18">
        <f>-(C6-B6)*Assumptions!B11</f>
        <v>-5477635.033099676</v>
      </c>
      <c r="D12" s="18">
        <f>-(D6-C6)*Assumptions!B11</f>
        <v>-5545048.070014117</v>
      </c>
      <c r="E12" s="18">
        <f>-(E6-D6)*Assumptions!B11</f>
        <v>-5613290.756497843</v>
      </c>
      <c r="F12" s="18">
        <f>-(F6-E6)*Assumptions!B11</f>
        <v>-5682373.303015285</v>
      </c>
    </row>
    <row r="13" spans="1:6" x14ac:dyDescent="0.25">
      <c r="A13" s="19" t="s">
        <v>49</v>
      </c>
      <c r="B13" s="20">
        <f>B9+B10+B11+B12</f>
        <v>348923826.8190785</v>
      </c>
      <c r="C13" s="20">
        <f>C9+C10+C11+C12</f>
        <v>353218018.5050074</v>
      </c>
      <c r="D13" s="20">
        <f>D9+D10+D11+D12</f>
        <v>357565058.63755476</v>
      </c>
      <c r="E13" s="20">
        <f>E9+E10+E11+E12</f>
        <v>361965597.620455</v>
      </c>
      <c r="F13" s="20">
        <f>F9+F10+F11+F12</f>
        <v>366420293.861936</v>
      </c>
    </row>
    <row r="14" spans="1:6" x14ac:dyDescent="0.25">
      <c r="A14" t="s">
        <v>50</v>
      </c>
      <c r="B14" s="21">
        <f>1/(1+Assumptions!$B$26)^(1-0.5*Assumptions!$B$32)</f>
        <v>0.9576573759404005</v>
      </c>
      <c r="C14" s="21">
        <f>1/(1+Assumptions!$B$26)^(2-0.5*Assumptions!$B$32)</f>
        <v>0.8782749052599178</v>
      </c>
      <c r="D14" s="21">
        <f>1/(1+Assumptions!$B$26)^(3-0.5*Assumptions!$B$32)</f>
        <v>0.8054726341473125</v>
      </c>
      <c r="E14" s="21">
        <f>1/(1+Assumptions!$B$26)^(4-0.5*Assumptions!$B$32)</f>
        <v>0.7387051143949146</v>
      </c>
      <c r="F14" s="21">
        <f>1/(1+Assumptions!$B$26)^(5-0.5*Assumptions!$B$32)</f>
        <v>0.6774721112789585</v>
      </c>
    </row>
    <row r="15" spans="1:6" x14ac:dyDescent="0.25">
      <c r="A15" s="19" t="s">
        <v>51</v>
      </c>
      <c r="B15" s="20">
        <f>B13*B14</f>
        <v>334149476.39464146</v>
      </c>
      <c r="C15" s="20">
        <f>C13*C14</f>
        <v>310222521.73858124</v>
      </c>
      <c r="D15" s="20">
        <f>D13*D14</f>
        <v>288008869.6598295</v>
      </c>
      <c r="E15" s="20">
        <f>E13*E14</f>
        <v>267385838.19724184</v>
      </c>
      <c r="F15" s="20">
        <f>F13*F14</f>
        <v>248239530.09810215</v>
      </c>
    </row>
    <row r="17" spans="1:2" x14ac:dyDescent="0.25">
      <c r="A17" s="22" t="s">
        <v>52</v>
      </c>
      <c r="B17" s="23">
        <f>SUM(B15:F15)</f>
        <v>1448006236.088396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366420293.861936</v>
      </c>
    </row>
    <row r="5" spans="1:2" x14ac:dyDescent="0.25">
      <c r="A5" t="s">
        <v>56</v>
      </c>
      <c r="B5" s="18">
        <f>IF(Assumptions!$B$33=0,B4,B4-Forecast!F11-Forecast!F10-Forecast!F12)</f>
        <v>356666176.22128993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0.2547792933572491</v>
      </c>
    </row>
    <row r="7" spans="1:2" x14ac:dyDescent="0.25">
      <c r="A7" t="s">
        <v>58</v>
      </c>
      <c r="B7" s="18">
        <f>-MAX(Forecast!F9,0)*B6</f>
        <v>-90871156.34209232</v>
      </c>
    </row>
    <row r="8" spans="1:2" x14ac:dyDescent="0.25">
      <c r="A8" t="s">
        <v>59</v>
      </c>
      <c r="B8" s="18">
        <f>IF(OR(Assumptions!$B$33=0,Assumptions!B12&lt;=0),B5,MAX(B5+B7,0))</f>
        <v>265795019.8791976</v>
      </c>
    </row>
    <row r="9" spans="1:2" x14ac:dyDescent="0.25">
      <c r="A9" t="s">
        <v>60</v>
      </c>
      <c r="B9" s="18">
        <f>B8*(1+Assumptions!B12)/(Assumptions!B26-Assumptions!B12)</f>
        <v>4166732806.0985575</v>
      </c>
    </row>
    <row r="10" spans="1:2" x14ac:dyDescent="0.25">
      <c r="A10" t="s">
        <v>61</v>
      </c>
      <c r="B10" s="18">
        <f>B9/(1+Assumptions!B26)^(5-0.5*Assumptions!B32)</f>
        <v>2822845271.282889</v>
      </c>
    </row>
    <row r="11" spans="1:2" x14ac:dyDescent="0.25">
      <c r="A11" t="s">
        <v>62</v>
      </c>
      <c r="B11" s="18">
        <f>Forecast!B17+B10</f>
        <v>4270851507.371285</v>
      </c>
    </row>
    <row r="12" spans="1:2" x14ac:dyDescent="0.25">
      <c r="A12" t="s">
        <v>63</v>
      </c>
      <c r="B12" s="18">
        <f>-Assumptions!B30</f>
        <v>-1273600000</v>
      </c>
    </row>
    <row r="13" spans="1:2" x14ac:dyDescent="0.25">
      <c r="A13" t="s">
        <v>64</v>
      </c>
      <c r="B13" s="18">
        <f>B11+B12</f>
        <v>2997251507.371285</v>
      </c>
    </row>
    <row r="14" spans="1:2" x14ac:dyDescent="0.25">
      <c r="A14" s="19" t="s">
        <v>65</v>
      </c>
      <c r="B14" s="24">
        <f>B13/Assumptions!B31</f>
        <v>11.541207190493974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548039158.9688454</v>
      </c>
    </row>
    <row r="18" spans="1:2" x14ac:dyDescent="0.25">
      <c r="A18" t="s">
        <v>60</v>
      </c>
      <c r="B18" s="18">
        <f>B17*Assumptions!B13</f>
        <v>8331429162.808716</v>
      </c>
    </row>
    <row r="19" spans="1:2" x14ac:dyDescent="0.25">
      <c r="A19" t="s">
        <v>61</v>
      </c>
      <c r="B19" s="18">
        <f>B18/(1+Assumptions!B26)^(5-0.5*Assumptions!B32)</f>
        <v>5644310904.899106</v>
      </c>
    </row>
    <row r="20" spans="1:2" x14ac:dyDescent="0.25">
      <c r="A20" t="s">
        <v>62</v>
      </c>
      <c r="B20" s="18">
        <f>Forecast!B17+B19</f>
        <v>7092317140.987502</v>
      </c>
    </row>
    <row r="21" spans="1:2" x14ac:dyDescent="0.25">
      <c r="A21" t="s">
        <v>63</v>
      </c>
      <c r="B21" s="18">
        <f>-Assumptions!B30</f>
        <v>-1273600000</v>
      </c>
    </row>
    <row r="22" spans="1:2" x14ac:dyDescent="0.25">
      <c r="A22" t="s">
        <v>64</v>
      </c>
      <c r="B22" s="18">
        <f>B20+B21</f>
        <v>5818717140.987502</v>
      </c>
    </row>
    <row r="23" spans="1:2" x14ac:dyDescent="0.25">
      <c r="A23" s="19" t="s">
        <v>65</v>
      </c>
      <c r="B23" s="25">
        <f>B22/Assumptions!B31</f>
        <v>22.405533850548718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2620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1154.1207190493974</v>
      </c>
    </row>
    <row r="29" spans="1:2" x14ac:dyDescent="0.25">
      <c r="A29" s="19" t="s">
        <v>73</v>
      </c>
      <c r="B29" s="12">
        <f>B28/B26-1</f>
        <v>-0.559495908759772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0.070385</v>
      </c>
      <c r="B5" s="31">
        <v>16.62112951204487</v>
      </c>
      <c r="C5" s="31">
        <v>17.220927771157836</v>
      </c>
      <c r="D5" s="31">
        <v>17.94153003681281</v>
      </c>
      <c r="E5" s="31">
        <v>18.82780594125272</v>
      </c>
      <c r="F5" s="31">
        <v>19.9499859375445</v>
      </c>
    </row>
    <row r="6" spans="1:6" x14ac:dyDescent="0.25">
      <c r="A6" s="30">
        <v>0.080385</v>
      </c>
      <c r="B6" s="31">
        <v>13.547566157645273</v>
      </c>
      <c r="C6" s="31">
        <v>13.836858453314594</v>
      </c>
      <c r="D6" s="31">
        <v>14.169461177815197</v>
      </c>
      <c r="E6" s="31">
        <v>14.558268177182011</v>
      </c>
      <c r="F6" s="31">
        <v>15.021855283143408</v>
      </c>
    </row>
    <row r="7" spans="1:6" x14ac:dyDescent="0.25">
      <c r="A7" s="30">
        <v>0.090385</v>
      </c>
      <c r="B7" s="31">
        <v>11.283947016064253</v>
      </c>
      <c r="C7" s="31">
        <v>11.406759455703583</v>
      </c>
      <c r="D7" s="32">
        <v>11.541103886242317</v>
      </c>
      <c r="E7" s="31">
        <v>11.689844924116535</v>
      </c>
      <c r="F7" s="31">
        <v>11.856881623402803</v>
      </c>
    </row>
    <row r="8" spans="1:6" x14ac:dyDescent="0.25">
      <c r="A8" s="30">
        <v>0.100385</v>
      </c>
      <c r="B8" s="31">
        <v>9.582509417091238</v>
      </c>
      <c r="C8" s="31">
        <v>9.626986897781906</v>
      </c>
      <c r="D8" s="31">
        <v>9.671464378472573</v>
      </c>
      <c r="E8" s="31">
        <v>9.715941859163246</v>
      </c>
      <c r="F8" s="31">
        <v>9.760419339853915</v>
      </c>
    </row>
    <row r="9" spans="1:6" x14ac:dyDescent="0.25">
      <c r="A9" s="30">
        <v>0.110385</v>
      </c>
      <c r="B9" s="31">
        <v>8.323422916571884</v>
      </c>
      <c r="C9" s="31">
        <v>8.362257511539873</v>
      </c>
      <c r="D9" s="31">
        <v>8.401092106507859</v>
      </c>
      <c r="E9" s="31">
        <v>8.439926701475848</v>
      </c>
      <c r="F9" s="31">
        <v>8.478761296443835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2564500000</v>
      </c>
      <c r="C5" s="18">
        <v>2505600000</v>
      </c>
      <c r="D5" s="18">
        <v>2636000000</v>
      </c>
      <c r="E5" s="18">
        <v>2472100000</v>
      </c>
      <c r="F5" s="8" t="s">
        <v>84</v>
      </c>
    </row>
    <row r="6" spans="1:6" x14ac:dyDescent="0.25">
      <c r="A6" t="s">
        <v>44</v>
      </c>
      <c r="B6" s="18">
        <v>414400000</v>
      </c>
      <c r="C6" s="18">
        <v>389100000</v>
      </c>
      <c r="D6" s="18">
        <v>430800000</v>
      </c>
      <c r="E6" s="18">
        <v>356400000</v>
      </c>
      <c r="F6" s="8" t="s">
        <v>85</v>
      </c>
    </row>
    <row r="7" spans="1:6" x14ac:dyDescent="0.25">
      <c r="A7" t="s">
        <v>86</v>
      </c>
      <c r="B7" s="18">
        <v>116800000</v>
      </c>
      <c r="C7" s="18">
        <v>110500000</v>
      </c>
      <c r="D7" s="18">
        <v>109200000</v>
      </c>
      <c r="E7" s="18">
        <v>120000000</v>
      </c>
      <c r="F7" s="8" t="s">
        <v>87</v>
      </c>
    </row>
    <row r="8" spans="1:6" x14ac:dyDescent="0.25">
      <c r="A8" t="s">
        <v>88</v>
      </c>
      <c r="B8" s="18">
        <v>65200000</v>
      </c>
      <c r="C8" s="18">
        <v>72500000</v>
      </c>
      <c r="D8" s="18">
        <v>86700000</v>
      </c>
      <c r="E8" s="18">
        <v>62700000</v>
      </c>
      <c r="F8" s="8" t="s">
        <v>89</v>
      </c>
    </row>
    <row r="9" spans="1:6" x14ac:dyDescent="0.25">
      <c r="A9" t="s">
        <v>90</v>
      </c>
      <c r="B9" s="18">
        <v>56900000</v>
      </c>
      <c r="C9" s="18">
        <v>-7900000</v>
      </c>
      <c r="D9" s="18">
        <v>28100000</v>
      </c>
      <c r="E9" s="18">
        <v>48600000</v>
      </c>
      <c r="F9" s="8" t="s">
        <v>91</v>
      </c>
    </row>
    <row r="10" spans="1:6" x14ac:dyDescent="0.25">
      <c r="A10" t="s">
        <v>92</v>
      </c>
      <c r="B10" s="18">
        <v>1782600000</v>
      </c>
      <c r="C10" s="18">
        <v>1091000000</v>
      </c>
      <c r="D10" s="18">
        <v>1397300000</v>
      </c>
      <c r="E10" s="18">
        <v>1488400000</v>
      </c>
      <c r="F10" s="8" t="s">
        <v>93</v>
      </c>
    </row>
    <row r="11" spans="1:6" x14ac:dyDescent="0.25">
      <c r="A11" t="s">
        <v>94</v>
      </c>
      <c r="B11" s="18">
        <v>509000000</v>
      </c>
      <c r="C11" s="18">
        <v>556400000</v>
      </c>
      <c r="D11" s="18">
        <v>707200000</v>
      </c>
      <c r="E11" s="18">
        <v>691200000</v>
      </c>
      <c r="F11" s="8" t="s">
        <v>95</v>
      </c>
    </row>
    <row r="12" spans="1:6" x14ac:dyDescent="0.25">
      <c r="A12" t="s">
        <v>32</v>
      </c>
      <c r="B12" s="34">
        <v>259700000</v>
      </c>
      <c r="C12" s="34">
        <v>259500000</v>
      </c>
      <c r="D12" s="34">
        <v>259800000</v>
      </c>
      <c r="E12" s="34">
        <v>260300000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2026-09-19T00:08:19Z</dcterms:modified>
</cp:coreProperties>
</file>