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<sst xmlns="http://schemas.openxmlformats.org/spreadsheetml/2006/main" count="121" uniqueCount="108">
  <si>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Welltower Inc. (WELL)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</si>
  <si>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</si>
  <si>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</si>
  <si>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</si>
  <si>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</si>
  <si>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</si>
  <si>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</si>
  <si>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</si>
  <si>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</si>
  <si>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</si>
  <si>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</si>
  <si>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</si>
  <si>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</si>
  <si>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</si>
  <si>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</si>
  <si>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</si>
  <si>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</si>
  <si>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</si>
  <si>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</si>
  <si>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</si>
  <si>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</si>
  <si>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</si>
  <si>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</si>
  <si>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</si>
  <si>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C rating at 0.5x interest cover, capped at 200bp because one year's cover is too noisy to charge more.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</si>
  <si>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</si>
  <si>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</si>
  <si>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</si>
  <si>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</si>
  <si>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</si>
  <si>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</si>
  <si>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</si>
  <si>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</si>
  <si>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</si>
  <si>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</si>
  <si>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</si>
  <si>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</si>
  <si>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</si>
  <si>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</si>
  <si>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</si>
  <si>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</si>
  <si>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</si>
  <si>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</si>
  <si>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</si>
  <si>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</si>
  <si>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</si>
  <si>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</si>
  <si>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</si>
  <si>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</si>
  <si>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</si>
  <si>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</si>
  <si>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</si>
  <si>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</si>
  <si>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</si>
  <si>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</si>
  <si>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</si>
  <si>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</si>
  <si>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</si>
  <si>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</si>
  <si>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</si>
  <si>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</si>
  <si>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</si>
  <si>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</si>
  <si>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</si>
  <si>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</si>
  <si>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</si>
  <si>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</si>
  <si>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</si>
  <si>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</si>
  <si>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</si>
  <si>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</si>
  <si>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</si>
  <si>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</si>
  <si>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</si>
  <si>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</si>
  <si>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</si>
  <si>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</si>
  <si>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</si>
  <si>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</si>
  <si>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</si>
  <si>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</si>
  <si>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</si>
  <si>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</si>
  <si>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</si>
  <si>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</si>
  <si>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</si>
  <si>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</si>
  <si>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</si>
  <si>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</si>
  <si>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</si>
  <si>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</si>
  <si>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</si>
  <si>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</si>
  <si>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</si>
  <si>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</si>
  <si>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</si>
  <si>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</si>
  <si>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</si>
  <si>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</si>
  <si>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</si>
  <si>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</si>
  <si>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</si>
  <si>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</si>
  <si>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</si>
  <si>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</si>
  <si>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0.59% of revenue, which is too low to be the company's real investment - property trusts and similar structures invest through lines that are not reported as capex. Capex has been set to 21.16% of revenue so the forecast is not handed free growth. Override it if the reported figure is right.</t>
  </si>
  <si>
    <t>Current EV/EBITDA of 75.6x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</si>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</sst>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0.36174248176830215</v>
      </c>
    </row>
    <row r="7" spans="1:2" x14ac:dyDescent="0.25">
      <c r="A7" t="s">
        <v>4</v>
      </c>
      <c r="B7" s="5">
        <v>0.11338505064295701</v>
      </c>
    </row>
    <row r="8" spans="1:2" x14ac:dyDescent="0.25">
      <c r="A8" t="s">
        <v>5</v>
      </c>
      <c r="B8" s="5">
        <v>0.01818041577273909</v>
      </c>
    </row>
    <row r="9" spans="1:2" x14ac:dyDescent="0.25">
      <c r="A9" t="s">
        <v>6</v>
      </c>
      <c r="B9" s="5">
        <v>0.2171454190661392</v>
      </c>
    </row>
    <row r="10" spans="1:3" x14ac:dyDescent="0.25">
      <c r="A10" t="s">
        <v>7</v>
      </c>
      <c r="B10" s="5">
        <v>0.21160046491815715</v>
      </c>
      <c r="C10" s="6" t="s">
        <v>8</v>
      </c>
    </row>
    <row r="11" spans="1:2" x14ac:dyDescent="0.25">
      <c r="A11" t="s">
        <v>9</v>
      </c>
      <c r="B11" s="5">
        <v>0.20155189776326432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0.0822593805764438</v>
      </c>
      <c r="C14" s="6" t="s">
        <v>13</v>
      </c>
    </row>
    <row r="15" spans="1:3" x14ac:dyDescent="0.25">
      <c r="A15" t="s">
        <v>14</v>
      </c>
      <c r="B15" s="5">
        <v>0.21160046491815715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0.83049</v>
      </c>
      <c r="C19" s="6" t="s">
        <v>21</v>
      </c>
    </row>
    <row r="20" spans="1:2" x14ac:dyDescent="0.25">
      <c r="A20" t="s">
        <v>22</v>
      </c>
      <c r="B20" s="9">
        <f>B17+B19*B18</f>
        <v>0.084069727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172104876032</v>
      </c>
    </row>
    <row r="23" spans="1:2" x14ac:dyDescent="0.25">
      <c r="A23" t="s">
        <v>26</v>
      </c>
      <c r="B23" s="10">
        <v>21380295000</v>
      </c>
    </row>
    <row r="24" spans="1:2" x14ac:dyDescent="0.25">
      <c r="A24" t="s">
        <v>27</v>
      </c>
      <c r="B24" s="9">
        <f>B22/(B22+B23)</f>
        <v>0.8894990510850882</v>
      </c>
    </row>
    <row r="25" spans="1:2" x14ac:dyDescent="0.25">
      <c r="A25" t="s">
        <v>28</v>
      </c>
      <c r="B25" s="9">
        <f>1-B24</f>
        <v>0.1105009489149118</v>
      </c>
    </row>
    <row r="26" spans="1:2" x14ac:dyDescent="0.25">
      <c r="A26" t="s">
        <v>29</v>
      </c>
      <c r="B26" s="11">
        <f>B24*B20+B25*B21*(1-B8)</f>
        <v>0.0822593805764438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10667136000</v>
      </c>
      <c r="C29" s="6" t="s">
        <v>32</v>
      </c>
    </row>
    <row r="30" spans="1:2" x14ac:dyDescent="0.25">
      <c r="A30" t="s">
        <v>33</v>
      </c>
      <c r="B30" s="10">
        <v>16346617000</v>
      </c>
    </row>
    <row r="31" spans="1:2" x14ac:dyDescent="0.25">
      <c r="A31" t="s">
        <v>34</v>
      </c>
      <c r="B31" s="12">
        <v>679521000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0.36174248176830215</v>
      </c>
      <c r="C5" s="5">
        <v>0.1592816310474836</v>
      </c>
      <c r="D5" s="5">
        <v>0.14249642716654815</v>
      </c>
      <c r="E5" s="5">
        <v>0.1257112232856127</v>
      </c>
      <c r="F5" s="5">
        <v>0.10892601940467725</v>
      </c>
      <c r="G5" s="5">
        <v>0.0921408155237418</v>
      </c>
      <c r="H5" s="5">
        <v>0.07535561164280635</v>
      </c>
      <c r="I5" s="5">
        <v>0.05857040776187089</v>
      </c>
      <c r="J5" s="5">
        <v>0.04178520388093544</v>
      </c>
      <c r="K5" s="5">
        <v>0.024999999999999994</v>
      </c>
    </row>
    <row r="6" spans="1:11" x14ac:dyDescent="0.25">
      <c r="A6" t="s">
        <v>50</v>
      </c>
      <c r="B6" s="18">
        <f>Assumptions!B29*(1+B5)</f>
        <v>14525892250</v>
      </c>
      <c r="C6" s="18">
        <f>B6*(1+C5)</f>
        <v>16839600060.000002</v>
      </c>
      <c r="D6" s="18">
        <f>C6*(1+D5)</f>
        <v>19239182903.463593</v>
      </c>
      <c r="E6" s="18">
        <f>D6*(1+E5)</f>
        <v>21657764121.273647</v>
      </c>
      <c r="F6" s="18">
        <f>E6*(1+F5)</f>
        <v>24016858156.209423</v>
      </c>
      <c r="G6" s="18">
        <f>F6*(1+G5)</f>
        <v>26229791053.04059</v>
      </c>
      <c r="H6" s="18">
        <f>G6*(1+H5)</f>
        <v>28206353001.10547</v>
      </c>
      <c r="I6" s="18">
        <f>H6*(1+I5)</f>
        <v>29858410597.855488</v>
      </c>
      <c r="J6" s="18">
        <f>I6*(1+J5)</f>
        <v>31106050372.247562</v>
      </c>
      <c r="K6" s="18">
        <f>J6*(1+K5)</f>
        <v>31883701631.55375</v>
      </c>
    </row>
    <row r="7" spans="1:11" x14ac:dyDescent="0.25">
      <c r="A7" t="s">
        <v>4</v>
      </c>
      <c r="B7" s="9">
        <f>Assumptions!B7</f>
        <v>0.11338505064295701</v>
      </c>
      <c r="C7" s="9">
        <f>Assumptions!B7</f>
        <v>0.11338505064295701</v>
      </c>
      <c r="D7" s="9">
        <f>Assumptions!B7</f>
        <v>0.11338505064295701</v>
      </c>
      <c r="E7" s="9">
        <f>Assumptions!B7</f>
        <v>0.11338505064295701</v>
      </c>
      <c r="F7" s="9">
        <f>Assumptions!B7</f>
        <v>0.11338505064295701</v>
      </c>
      <c r="G7" s="9">
        <f>Assumptions!B7</f>
        <v>0.11338505064295701</v>
      </c>
      <c r="H7" s="9">
        <f>Assumptions!B7</f>
        <v>0.11338505064295701</v>
      </c>
      <c r="I7" s="9">
        <f>Assumptions!B7</f>
        <v>0.11338505064295701</v>
      </c>
      <c r="J7" s="9">
        <f>Assumptions!B7</f>
        <v>0.11338505064295701</v>
      </c>
      <c r="K7" s="9">
        <f>Assumptions!B7</f>
        <v>0.11338505064295701</v>
      </c>
    </row>
    <row r="8" spans="1:11" x14ac:dyDescent="0.25">
      <c r="A8" t="s">
        <v>51</v>
      </c>
      <c r="B8" s="18">
        <f>B6*B7</f>
        <v>1647019028.4003868</v>
      </c>
      <c r="C8" s="18">
        <f>C6*C7</f>
        <v>1909358905.6102421</v>
      </c>
      <c r="D8" s="18">
        <f>D6*D7</f>
        <v>2181435727.838332</v>
      </c>
      <c r="E8" s="18">
        <f>E6*E7</f>
        <v>2455666681.70383</v>
      </c>
      <c r="F8" s="18">
        <f>F6*F7</f>
        <v>2723152678.3265204</v>
      </c>
      <c r="G8" s="18">
        <f>G6*G7</f>
        <v>2974066186.9031878</v>
      </c>
      <c r="H8" s="18">
        <f>H6*H7</f>
        <v>3198178763.483466</v>
      </c>
      <c r="I8" s="18">
        <f>I6*I7</f>
        <v>3385497397.7560487</v>
      </c>
      <c r="J8" s="18">
        <f>J6*J7</f>
        <v>3526961096.7596617</v>
      </c>
      <c r="K8" s="18">
        <f>K6*K7</f>
        <v>3615135124.178653</v>
      </c>
    </row>
    <row r="9" spans="1:11" x14ac:dyDescent="0.25">
      <c r="A9" t="s">
        <v>52</v>
      </c>
      <c r="B9" s="18">
        <f>B8*(1-Assumptions!B8)</f>
        <v>1617075537.6784549</v>
      </c>
      <c r="C9" s="18">
        <f>C8*(1-Assumptions!B8)</f>
        <v>1874645966.846866</v>
      </c>
      <c r="D9" s="18">
        <f>D8*(1-Assumptions!B8)</f>
        <v>2141776319.3247235</v>
      </c>
      <c r="E9" s="18">
        <f>E8*(1-Assumptions!B8)</f>
        <v>2411021640.4311914</v>
      </c>
      <c r="F9" s="18">
        <f>F8*(1-Assumptions!B8)</f>
        <v>2673644630.4218965</v>
      </c>
      <c r="G9" s="18">
        <f>G8*(1-Assumptions!B8)</f>
        <v>2919996427.089643</v>
      </c>
      <c r="H9" s="18">
        <f>H8*(1-Assumptions!B8)</f>
        <v>3140034543.847792</v>
      </c>
      <c r="I9" s="18">
        <f>I8*(1-Assumptions!B8)</f>
        <v>3323947647.4673176</v>
      </c>
      <c r="J9" s="18">
        <f>J8*(1-Assumptions!B8)</f>
        <v>3462839477.606295</v>
      </c>
      <c r="K9" s="18">
        <f>K8*(1-Assumptions!B8)</f>
        <v>3549410464.546452</v>
      </c>
    </row>
    <row r="10" spans="1:11" x14ac:dyDescent="0.25">
      <c r="A10" t="s">
        <v>53</v>
      </c>
      <c r="B10" s="18">
        <f>B6*Assumptions!B9</f>
        <v>3154230959.935834</v>
      </c>
      <c r="C10" s="18">
        <f>C6*Assumptions!B9</f>
        <v>3656642011.9348836</v>
      </c>
      <c r="D10" s="18">
        <f>D6*Assumptions!B9</f>
        <v>4177700434.0627027</v>
      </c>
      <c r="E10" s="18">
        <f>E6*Assumptions!B9</f>
        <v>4702884266.14956</v>
      </c>
      <c r="F10" s="18">
        <f>F6*Assumptions!B9</f>
        <v>5215150728.982119</v>
      </c>
      <c r="G10" s="18">
        <f>G6*Assumptions!B9</f>
        <v>5695678970.229768</v>
      </c>
      <c r="H10" s="18">
        <f>H6*Assumptions!B9</f>
        <v>6124880342.752501</v>
      </c>
      <c r="I10" s="18">
        <f>I6*Assumptions!B9</f>
        <v>6483617081.920182</v>
      </c>
      <c r="J10" s="18">
        <f>J6*Assumptions!B9</f>
        <v>6754536343.574133</v>
      </c>
      <c r="K10" s="18">
        <f>K6*Assumptions!B9</f>
        <v>6923399752.163486</v>
      </c>
    </row>
    <row r="11" spans="1:11" x14ac:dyDescent="0.25">
      <c r="A11" t="s">
        <v>54</v>
      </c>
      <c r="B11" s="18">
        <f>-B6*B19</f>
        <v>-3073685553.451056</v>
      </c>
      <c r="C11" s="18">
        <f>-C6*C19</f>
        <v>-3629667031.2304497</v>
      </c>
      <c r="D11" s="18">
        <f>-D6*D19</f>
        <v>-4222743182.9516444</v>
      </c>
      <c r="E11" s="18">
        <f>-E6*E19</f>
        <v>-4838987612.577573</v>
      </c>
      <c r="F11" s="18">
        <f>-F6*F19</f>
        <v>-5460779577.643137</v>
      </c>
      <c r="G11" s="18">
        <f>-G6*G19</f>
        <v>-6067366331.270836</v>
      </c>
      <c r="H11" s="18">
        <f>-H6*H19</f>
        <v>-6635796236.933748</v>
      </c>
      <c r="I11" s="18">
        <f>-I6*I19</f>
        <v>-7142191522.377679</v>
      </c>
      <c r="J11" s="18">
        <f>-J6*J19</f>
        <v>-7563282984.262878</v>
      </c>
      <c r="K11" s="18">
        <f>-K6*K19</f>
        <v>-7878084930.159559</v>
      </c>
    </row>
    <row r="12" spans="1:11" x14ac:dyDescent="0.25">
      <c r="A12" t="s">
        <v>55</v>
      </c>
      <c r="B12" s="18">
        <f>-(B6-Assumptions!B29)*Assumptions!B11</f>
        <v>-777739645.1933572</v>
      </c>
      <c r="C12" s="18">
        <f>-(C6-B6)*Assumptions!B11</f>
        <v>-466332199.9751866</v>
      </c>
      <c r="D12" s="18">
        <f>-(D6-C6)*Assumptions!B11</f>
        <v>-483640475.9402567</v>
      </c>
      <c r="E12" s="18">
        <f>-(E6-D6)*Assumptions!B11</f>
        <v>-487469634.3442035</v>
      </c>
      <c r="F12" s="18">
        <f>-(F6-E6)*Assumptions!B11</f>
        <v>-475479879.74330217</v>
      </c>
      <c r="G12" s="18">
        <f>-(G6-F6)*Assumptions!B11</f>
        <v>-446020824.97907937</v>
      </c>
      <c r="H12" s="18">
        <f>-(H6-G6)*Assumptions!B11</f>
        <v>-398379811.6791313</v>
      </c>
      <c r="I12" s="18">
        <f>-(I6-H6)*Assumptions!B11</f>
        <v>-332975343.839184</v>
      </c>
      <c r="J12" s="18">
        <f>-(J6-I6)*Assumptions!B11</f>
        <v>-251464164.2536536</v>
      </c>
      <c r="K12" s="18">
        <f>-(K6-J6)*Assumptions!B11</f>
        <v>-156737087.1111543</v>
      </c>
    </row>
    <row r="13" spans="1:11" x14ac:dyDescent="0.25">
      <c r="A13" s="19" t="s">
        <v>56</v>
      </c>
      <c r="B13" s="20">
        <f>B9+B10+B11+B12</f>
        <v>919881298.9698751</v>
      </c>
      <c r="C13" s="20">
        <f>C9+C10+C11+C12</f>
        <v>1435288747.5761135</v>
      </c>
      <c r="D13" s="20">
        <f>D9+D10+D11+D12</f>
        <v>1613093094.4955254</v>
      </c>
      <c r="E13" s="20">
        <f>E9+E10+E11+E12</f>
        <v>1787448659.6589751</v>
      </c>
      <c r="F13" s="20">
        <f>F9+F10+F11+F12</f>
        <v>1952535902.0175755</v>
      </c>
      <c r="G13" s="20">
        <f>G9+G10+G11+G12</f>
        <v>2102288241.0694952</v>
      </c>
      <c r="H13" s="20">
        <f>H9+H10+H11+H12</f>
        <v>2230738837.9874125</v>
      </c>
      <c r="I13" s="20">
        <f>I9+I10+I11+I12</f>
        <v>2332397863.170638</v>
      </c>
      <c r="J13" s="20">
        <f>J9+J10+J11+J12</f>
        <v>2402628672.6638956</v>
      </c>
      <c r="K13" s="20">
        <f>K9+K10+K11+K12</f>
        <v>2437988199.4392247</v>
      </c>
    </row>
    <row r="14" spans="1:11" x14ac:dyDescent="0.25">
      <c r="A14" t="s">
        <v>57</v>
      </c>
      <c r="B14" s="21">
        <f>1/(1+Assumptions!$B$26)^(1-0.5*Assumptions!$B$32)</f>
        <v>0.9612455020145948</v>
      </c>
      <c r="C14" s="21">
        <f>1/(1+Assumptions!$B$26)^(2-0.5*Assumptions!$B$32)</f>
        <v>0.888184033574841</v>
      </c>
      <c r="D14" s="21">
        <f>1/(1+Assumptions!$B$26)^(3-0.5*Assumptions!$B$32)</f>
        <v>0.8206757543665435</v>
      </c>
      <c r="E14" s="21">
        <f>1/(1+Assumptions!$B$26)^(4-0.5*Assumptions!$B$32)</f>
        <v>0.7582985826645613</v>
      </c>
      <c r="F14" s="21">
        <f>1/(1+Assumptions!$B$26)^(5-0.5*Assumptions!$B$32)</f>
        <v>0.7006625179452535</v>
      </c>
      <c r="G14" s="21">
        <f>1/(1+Assumptions!$B$26)^(6-0.5*Assumptions!$B$32)</f>
        <v>0.6474072024878728</v>
      </c>
      <c r="H14" s="21">
        <f>1/(1+Assumptions!$B$26)^(7-0.5*Assumptions!$B$32)</f>
        <v>0.598199668311532</v>
      </c>
      <c r="I14" s="21">
        <f>1/(1+Assumptions!$B$26)^(8-0.5*Assumptions!$B$32)</f>
        <v>0.5527322553609217</v>
      </c>
      <c r="J14" s="21">
        <f>1/(1+Assumptions!$B$26)^(9-0.5*Assumptions!$B$32)</f>
        <v>0.5107206879246637</v>
      </c>
      <c r="K14" s="21">
        <f>1/(1+Assumptions!$B$26)^(10-0.5*Assumptions!$B$32)</f>
        <v>0.4719022972594967</v>
      </c>
    </row>
    <row r="15" spans="1:11" x14ac:dyDescent="0.25">
      <c r="A15" s="19" t="s">
        <v>58</v>
      </c>
      <c r="B15" s="20">
        <f>B13*B14</f>
        <v>884231761.0221351</v>
      </c>
      <c r="C15" s="20">
        <f>C13*C14</f>
        <v>1274800549.1667342</v>
      </c>
      <c r="D15" s="20">
        <f>D13*D14</f>
        <v>1323826392.1885774</v>
      </c>
      <c r="E15" s="20">
        <f>E13*E14</f>
        <v>1355419785.2050707</v>
      </c>
      <c r="F15" s="20">
        <f>F13*F14</f>
        <v>1368068721.4861412</v>
      </c>
      <c r="G15" s="20">
        <f>G13*G14</f>
        <v>1361036548.9739525</v>
      </c>
      <c r="H15" s="20">
        <f>H13*H14</f>
        <v>1334427232.9737225</v>
      </c>
      <c r="I15" s="20">
        <f>I13*I14</f>
        <v>1289191531.3093014</v>
      </c>
      <c r="J15" s="20">
        <f>J13*J14</f>
        <v>1227072168.5304265</v>
      </c>
      <c r="K15" s="20">
        <f>K13*K14</f>
        <v>1150492232.0069141</v>
      </c>
    </row>
    <row r="17" spans="1:2" x14ac:dyDescent="0.25">
      <c r="A17" s="22" t="s">
        <v>59</v>
      </c>
      <c r="B17" s="23">
        <f>SUM(B15:K15)</f>
        <v>12568566922.862976</v>
      </c>
    </row>
    <row r="19" spans="1:11" x14ac:dyDescent="0.25">
      <c r="A19" t="s">
        <v>7</v>
      </c>
      <c r="B19" s="9">
        <f>Assumptions!$B$10+($B$20-Assumptions!$B$10)*0/9</f>
        <v>0.21160046491815715</v>
      </c>
      <c r="C19" s="9">
        <f>Assumptions!$B$10+($B$20-Assumptions!$B$10)*1/9</f>
        <v>0.21554354131320438</v>
      </c>
      <c r="D19" s="9">
        <f>Assumptions!$B$10+($B$20-Assumptions!$B$10)*2/9</f>
        <v>0.21948661770825165</v>
      </c>
      <c r="E19" s="9">
        <f>Assumptions!$B$10+($B$20-Assumptions!$B$10)*3/9</f>
        <v>0.22342969410329888</v>
      </c>
      <c r="F19" s="9">
        <f>Assumptions!$B$10+($B$20-Assumptions!$B$10)*4/9</f>
        <v>0.22737277049834612</v>
      </c>
      <c r="G19" s="9">
        <f>Assumptions!$B$10+($B$20-Assumptions!$B$10)*5/9</f>
        <v>0.23131584689339338</v>
      </c>
      <c r="H19" s="9">
        <f>Assumptions!$B$10+($B$20-Assumptions!$B$10)*6/9</f>
        <v>0.2352589232884406</v>
      </c>
      <c r="I19" s="9">
        <f>Assumptions!$B$10+($B$20-Assumptions!$B$10)*7/9</f>
        <v>0.23920199968348785</v>
      </c>
      <c r="J19" s="9">
        <f>Assumptions!$B$10+($B$20-Assumptions!$B$10)*8/9</f>
        <v>0.24314507607853508</v>
      </c>
      <c r="K19" s="9">
        <f>Assumptions!$B$10+($B$20-Assumptions!$B$10)*9/9</f>
        <v>0.24708815247358235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0.24708815247358235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2437988199.4392247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3722989945.8508534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0.30391670621404027</v>
      </c>
    </row>
    <row r="7" spans="1:2" x14ac:dyDescent="0.25">
      <c r="A7" t="s">
        <v>66</v>
      </c>
      <c r="B7" s="18">
        <f>-MAX(B5,0)*B6</f>
        <v>-1131478841.6109796</v>
      </c>
    </row>
    <row r="8" spans="1:2" x14ac:dyDescent="0.25">
      <c r="A8" t="s">
        <v>67</v>
      </c>
      <c r="B8" s="18">
        <f>IF(OR(Assumptions!$B$33=0,Assumptions!B12&lt;=0),B5,MAX(B5+B7,0))</f>
        <v>2591511104.239874</v>
      </c>
    </row>
    <row r="9" spans="1:2" x14ac:dyDescent="0.25">
      <c r="A9" t="s">
        <v>68</v>
      </c>
      <c r="B9" s="18">
        <f>B8*(1+Assumptions!B12)/(Assumptions!B26-Assumptions!B12)</f>
        <v>46390632506.050156</v>
      </c>
    </row>
    <row r="10" spans="1:2" x14ac:dyDescent="0.25">
      <c r="A10" t="s">
        <v>69</v>
      </c>
      <c r="B10" s="18">
        <f>B9/(1+Assumptions!B26)^(10-0.5*Assumptions!B32)</f>
        <v>21891846050.92615</v>
      </c>
    </row>
    <row r="11" spans="1:2" x14ac:dyDescent="0.25">
      <c r="A11" t="s">
        <v>70</v>
      </c>
      <c r="B11" s="18">
        <f>Forecast!B17+B10</f>
        <v>34460412973.78912</v>
      </c>
    </row>
    <row r="12" spans="1:2" x14ac:dyDescent="0.25">
      <c r="A12" t="s">
        <v>71</v>
      </c>
      <c r="B12" s="18">
        <f>-Assumptions!B30</f>
        <v>-16346617000</v>
      </c>
    </row>
    <row r="13" spans="1:2" x14ac:dyDescent="0.25">
      <c r="A13" t="s">
        <v>72</v>
      </c>
      <c r="B13" s="18">
        <f>B11+B12</f>
        <v>18113795973.789124</v>
      </c>
    </row>
    <row r="14" spans="1:2" x14ac:dyDescent="0.25">
      <c r="A14" s="19" t="s">
        <v>73</v>
      </c>
      <c r="B14" s="24">
        <f>B13/Assumptions!B31</f>
        <v>26.656712557506133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10538534876.342138</v>
      </c>
    </row>
    <row r="18" spans="1:2" x14ac:dyDescent="0.25">
      <c r="A18" t="s">
        <v>68</v>
      </c>
      <c r="B18" s="18">
        <f>B17*Assumptions!B13</f>
        <v>210770697526.84277</v>
      </c>
    </row>
    <row r="19" spans="1:2" x14ac:dyDescent="0.25">
      <c r="A19" t="s">
        <v>69</v>
      </c>
      <c r="B19" s="18">
        <f>B18/(1+Assumptions!B26)^(10-0.5*Assumptions!B32)</f>
        <v>99463176357.90363</v>
      </c>
    </row>
    <row r="20" spans="1:2" x14ac:dyDescent="0.25">
      <c r="A20" t="s">
        <v>70</v>
      </c>
      <c r="B20" s="18">
        <f>Forecast!B17+B19</f>
        <v>112031743280.7666</v>
      </c>
    </row>
    <row r="21" spans="1:2" x14ac:dyDescent="0.25">
      <c r="A21" t="s">
        <v>71</v>
      </c>
      <c r="B21" s="18">
        <f>-Assumptions!B30</f>
        <v>-16346617000</v>
      </c>
    </row>
    <row r="22" spans="1:2" x14ac:dyDescent="0.25">
      <c r="A22" t="s">
        <v>72</v>
      </c>
      <c r="B22" s="18">
        <f>B20+B21</f>
        <v>95685126280.7666</v>
      </c>
    </row>
    <row r="23" spans="1:2" x14ac:dyDescent="0.25">
      <c r="A23" s="19" t="s">
        <v>73</v>
      </c>
      <c r="B23" s="25">
        <f>B22/Assumptions!B31</f>
        <v>140.81261106097767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234.6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26.656712557506133</v>
      </c>
    </row>
    <row r="29" spans="1:2" x14ac:dyDescent="0.25">
      <c r="A29" s="19" t="s">
        <v>81</v>
      </c>
      <c r="B29" s="11">
        <f>B28/B26-1</f>
        <v>-0.8863737742646798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0.062259</v>
      </c>
      <c r="B5" s="31">
        <v>47.618515602153124</v>
      </c>
      <c r="C5" s="31">
        <v>46.59969637786649</v>
      </c>
      <c r="D5" s="31">
        <v>45.58087715357986</v>
      </c>
      <c r="E5" s="31">
        <v>44.56205792929323</v>
      </c>
      <c r="F5" s="31">
        <v>43.5432387050066</v>
      </c>
    </row>
    <row r="6" spans="1:6" x14ac:dyDescent="0.25">
      <c r="A6" s="30">
        <v>0.072259</v>
      </c>
      <c r="B6" s="31">
        <v>36.42891607650535</v>
      </c>
      <c r="C6" s="31">
        <v>35.60076334305469</v>
      </c>
      <c r="D6" s="31">
        <v>34.772610609604044</v>
      </c>
      <c r="E6" s="31">
        <v>33.94445787615341</v>
      </c>
      <c r="F6" s="31">
        <v>33.11630514270274</v>
      </c>
    </row>
    <row r="7" spans="1:6" x14ac:dyDescent="0.25">
      <c r="A7" s="30">
        <v>0.082259</v>
      </c>
      <c r="B7" s="31">
        <v>28.030794848593153</v>
      </c>
      <c r="C7" s="31">
        <v>27.343888775119456</v>
      </c>
      <c r="D7" s="32">
        <v>26.656982701645727</v>
      </c>
      <c r="E7" s="31">
        <v>25.97007662817202</v>
      </c>
      <c r="F7" s="31">
        <v>25.283170554698298</v>
      </c>
    </row>
    <row r="8" spans="1:6" x14ac:dyDescent="0.25">
      <c r="A8" s="30">
        <v>0.092259</v>
      </c>
      <c r="B8" s="31">
        <v>21.511613740033578</v>
      </c>
      <c r="C8" s="31">
        <v>20.93282649510369</v>
      </c>
      <c r="D8" s="31">
        <v>20.354039250173802</v>
      </c>
      <c r="E8" s="31">
        <v>19.77525200524392</v>
      </c>
      <c r="F8" s="31">
        <v>19.196464760314022</v>
      </c>
    </row>
    <row r="9" spans="1:6" x14ac:dyDescent="0.25">
      <c r="A9" s="30">
        <v>0.102259</v>
      </c>
      <c r="B9" s="31">
        <v>16.31617444446347</v>
      </c>
      <c r="C9" s="31">
        <v>15.822279066133962</v>
      </c>
      <c r="D9" s="31">
        <v>15.328383687804449</v>
      </c>
      <c r="E9" s="31">
        <v>14.834488309474935</v>
      </c>
      <c r="F9" s="31">
        <v>14.340592931145427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10667136000</v>
      </c>
      <c r="C5" s="18">
        <v>7853618000</v>
      </c>
      <c r="D5" s="18">
        <v>6478231000</v>
      </c>
      <c r="E5" s="18">
        <v>5776068000</v>
      </c>
      <c r="F5" s="6" t="s">
        <v>91</v>
      </c>
    </row>
    <row r="6" spans="1:6" x14ac:dyDescent="0.25">
      <c r="A6" t="s">
        <v>51</v>
      </c>
      <c r="B6" s="18">
        <v>355168000</v>
      </c>
      <c r="C6" s="18">
        <v>1145698000</v>
      </c>
      <c r="D6" s="18">
        <v>940454000</v>
      </c>
      <c r="E6" s="18">
        <v>746220000</v>
      </c>
      <c r="F6" s="6" t="s">
        <v>92</v>
      </c>
    </row>
    <row r="7" spans="1:6" x14ac:dyDescent="0.25">
      <c r="A7" t="s">
        <v>93</v>
      </c>
      <c r="B7" s="18">
        <v>2138528000</v>
      </c>
      <c r="C7" s="18">
        <v>1679633000</v>
      </c>
      <c r="D7" s="18">
        <v>1443217000</v>
      </c>
      <c r="E7" s="18">
        <v>1336909000</v>
      </c>
      <c r="F7" s="6" t="s">
        <v>94</v>
      </c>
    </row>
    <row r="8" spans="1:6" x14ac:dyDescent="0.25">
      <c r="A8" t="s">
        <v>95</v>
      </c>
      <c r="B8" s="18">
        <v>33799000</v>
      </c>
      <c r="C8" s="18">
        <v>58115000</v>
      </c>
      <c r="D8" s="18">
        <v>50699000</v>
      </c>
      <c r="E8" s="18">
        <v>30491000</v>
      </c>
      <c r="F8" s="6" t="s">
        <v>96</v>
      </c>
    </row>
    <row r="9" spans="1:6" x14ac:dyDescent="0.25">
      <c r="A9" t="s">
        <v>97</v>
      </c>
      <c r="B9" s="18">
        <v>280783000</v>
      </c>
      <c r="C9" s="18">
        <v>42038000</v>
      </c>
      <c r="D9" s="18">
        <v>76411000</v>
      </c>
      <c r="E9" s="18">
        <v>140580000</v>
      </c>
      <c r="F9" s="6" t="s">
        <v>98</v>
      </c>
    </row>
    <row r="10" spans="1:6" x14ac:dyDescent="0.25">
      <c r="A10" t="s">
        <v>99</v>
      </c>
      <c r="B10" s="18">
        <v>21380295000</v>
      </c>
      <c r="C10" s="18">
        <v>16758356000</v>
      </c>
      <c r="D10" s="18">
        <v>16118779000</v>
      </c>
      <c r="E10" s="18">
        <v>14963912000</v>
      </c>
      <c r="F10" s="6" t="s">
        <v>100</v>
      </c>
    </row>
    <row r="11" spans="1:6" x14ac:dyDescent="0.25">
      <c r="A11" t="s">
        <v>101</v>
      </c>
      <c r="B11" s="18">
        <v>5033678000</v>
      </c>
      <c r="C11" s="18">
        <v>3506586000</v>
      </c>
      <c r="D11" s="18">
        <v>1993646000</v>
      </c>
      <c r="E11" s="18">
        <v>631681000</v>
      </c>
      <c r="F11" s="6" t="s">
        <v>102</v>
      </c>
    </row>
    <row r="12" spans="1:6" x14ac:dyDescent="0.25">
      <c r="A12" t="s">
        <v>34</v>
      </c>
      <c r="B12" s="34">
        <v>679521000</v>
      </c>
      <c r="C12" s="34">
        <v>608750000</v>
      </c>
      <c r="D12" s="34">
        <v>518701000</v>
      </c>
      <c r="E12" s="34">
        <v>465158000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