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<sst xmlns="http://schemas.openxmlformats.org/spreadsheetml/2006/main" count="113" uniqueCount="100">
  <si>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Wells Fargo &amp; Company (WFC)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</si>
  <si>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</si>
  <si>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</si>
  <si>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</si>
  <si>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</si>
  <si>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</si>
  <si>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</si>
  <si>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</si>
  <si>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</si>
  <si>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</si>
  <si>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</si>
  <si>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</si>
  <si>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</si>
  <si>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</si>
  <si>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</si>
  <si>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</si>
  <si>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</si>
  <si>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</si>
  <si>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</si>
  <si>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</si>
  <si>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</si>
  <si>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</si>
  <si>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21.6%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</si>
  <si>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</si>
  <si>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</si>
  <si>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</si>
  <si>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</si>
  <si>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</si>
  <si>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</si>
  <si>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</si>
  <si>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</si>
  <si>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</si>
  <si>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</si>
  <si>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</si>
  <si>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</si>
  <si>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</si>
  <si>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</si>
  <si>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</si>
  <si>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</si>
  <si>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</si>
  <si>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</si>
  <si>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</si>
  <si>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</si>
  <si>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</si>
  <si>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</si>
  <si>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</si>
  <si>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</si>
  <si>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</si>
  <si>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</si>
  <si>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</si>
  <si>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</si>
  <si>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</si>
  <si>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</si>
  <si>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</si>
  <si>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</si>
  <si>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</si>
  <si>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</si>
  <si>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</si>
  <si>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</si>
  <si>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</si>
  <si>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</si>
  <si>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</si>
  <si>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</si>
  <si>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</si>
  <si>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</si>
  <si>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</si>
  <si>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</si>
  <si>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</si>
  <si>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</si>
  <si>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</si>
  <si>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</si>
  <si>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</si>
  <si>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</si>
  <si>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</si>
  <si>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</si>
  <si>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</si>
  <si>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</si>
  <si>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</si>
  <si>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</si>
  <si>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</si>
  <si>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</si>
  <si>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</si>
  <si>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</si>
  <si>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</si>
  <si>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</si>
  <si>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</si>
  <si>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</si>
  <si>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</si>
  <si>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</si>
  <si>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</si>
  <si>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</si>
  <si>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</si>
  <si>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</si>
  <si>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</si>
  <si>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</si>
  <si>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</si>
  <si>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</si>
  <si>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</si>
  <si>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8.79%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</si>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</sst>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0.04018692169368365</v>
      </c>
    </row>
    <row r="7" spans="1:2" x14ac:dyDescent="0.25">
      <c r="A7" t="s">
        <v>5</v>
      </c>
      <c r="B7" s="6">
        <v>0.26426827126937036</v>
      </c>
    </row>
    <row r="8" spans="1:2" x14ac:dyDescent="0.25">
      <c r="A8" t="s">
        <v>6</v>
      </c>
      <c r="B8" s="6">
        <v>0.14475367752183124</v>
      </c>
    </row>
    <row r="9" spans="1:2" x14ac:dyDescent="0.25">
      <c r="A9" t="s">
        <v>7</v>
      </c>
      <c r="B9" s="6">
        <v>0.08794529434322043</v>
      </c>
    </row>
    <row r="10" spans="1:2" x14ac:dyDescent="0.25">
      <c r="A10" t="s">
        <v>8</v>
      </c>
      <c r="B10" s="6">
        <v>0.08794529434322043</v>
      </c>
    </row>
    <row r="11" spans="1:2" x14ac:dyDescent="0.25">
      <c r="A11" t="s">
        <v>9</v>
      </c>
      <c r="B11" s="6">
        <v>-0.6045692064649411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8.48480267768595</v>
      </c>
    </row>
    <row r="14" spans="1:3" x14ac:dyDescent="0.25">
      <c r="A14" t="s">
        <v>12</v>
      </c>
      <c r="B14" s="6">
        <v>0.08399087228150809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0.94372</v>
      </c>
      <c r="C19" s="8" t="s">
        <v>19</v>
      </c>
    </row>
    <row r="20" spans="1:2" x14ac:dyDescent="0.25">
      <c r="A20" t="s">
        <v>20</v>
      </c>
      <c r="B20" s="10">
        <f>B17+B19*B18</f>
        <v>0.1018846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260426825728</v>
      </c>
    </row>
    <row r="23" spans="1:2" x14ac:dyDescent="0.25">
      <c r="A23" t="s">
        <v>24</v>
      </c>
      <c r="B23" s="11">
        <v>193035000000</v>
      </c>
    </row>
    <row r="24" spans="1:2" x14ac:dyDescent="0.25">
      <c r="A24" t="s">
        <v>25</v>
      </c>
      <c r="B24" s="10">
        <f>B22/(B22+B23)</f>
        <v>0.5743081577151586</v>
      </c>
    </row>
    <row r="25" spans="1:2" x14ac:dyDescent="0.25">
      <c r="A25" t="s">
        <v>26</v>
      </c>
      <c r="B25" s="10">
        <f>1-B24</f>
        <v>0.42569184228484136</v>
      </c>
    </row>
    <row r="26" spans="1:2" x14ac:dyDescent="0.25">
      <c r="A26" t="s">
        <v>27</v>
      </c>
      <c r="B26" s="12">
        <f>B24*B20+B25*B21*(1-B8)</f>
        <v>0.08399087228150809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83699000000</v>
      </c>
      <c r="C29" s="8" t="s">
        <v>30</v>
      </c>
    </row>
    <row r="30" spans="1:2" x14ac:dyDescent="0.25">
      <c r="A30" t="s">
        <v>31</v>
      </c>
      <c r="B30" s="11">
        <v>18825000000</v>
      </c>
    </row>
    <row r="31" spans="1:2" x14ac:dyDescent="0.25">
      <c r="A31" t="s">
        <v>32</v>
      </c>
      <c r="B31" s="13">
        <v>3242300000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0.04018692169368365</v>
      </c>
      <c r="C5" s="10">
        <f>Assumptions!B6</f>
        <v>0.04018692169368365</v>
      </c>
      <c r="D5" s="10">
        <f>Assumptions!B6</f>
        <v>0.04018692169368365</v>
      </c>
      <c r="E5" s="10">
        <f>Assumptions!B6</f>
        <v>0.04018692169368365</v>
      </c>
      <c r="F5" s="10">
        <f>Assumptions!B6</f>
        <v>0.04018692169368365</v>
      </c>
    </row>
    <row r="6" spans="1:6" x14ac:dyDescent="0.25">
      <c r="A6" t="s">
        <v>43</v>
      </c>
      <c r="B6" s="18">
        <f>Assumptions!B29*(1+B5)</f>
        <v>87062605158.83963</v>
      </c>
      <c r="C6" s="18">
        <f>B6*(1+C5)</f>
        <v>90561383254.80602</v>
      </c>
      <c r="D6" s="18">
        <f>C6*(1+D5)</f>
        <v>94200766472.13858</v>
      </c>
      <c r="E6" s="18">
        <f>D6*(1+E5)</f>
        <v>97986405297.8394</v>
      </c>
      <c r="F6" s="18">
        <f>E6*(1+F5)</f>
        <v>101924177294.58922</v>
      </c>
    </row>
    <row r="7" spans="1:6" x14ac:dyDescent="0.25">
      <c r="A7" t="s">
        <v>5</v>
      </c>
      <c r="B7" s="10">
        <f>Assumptions!B7</f>
        <v>0.26426827126937036</v>
      </c>
      <c r="C7" s="10">
        <f>Assumptions!B7</f>
        <v>0.26426827126937036</v>
      </c>
      <c r="D7" s="10">
        <f>Assumptions!B7</f>
        <v>0.26426827126937036</v>
      </c>
      <c r="E7" s="10">
        <f>Assumptions!B7</f>
        <v>0.26426827126937036</v>
      </c>
      <c r="F7" s="10">
        <f>Assumptions!B7</f>
        <v>0.26426827126937036</v>
      </c>
    </row>
    <row r="8" spans="1:6" x14ac:dyDescent="0.25">
      <c r="A8" t="s">
        <v>44</v>
      </c>
      <c r="B8" s="18">
        <f>B6*B7</f>
        <v>23007884157.534313</v>
      </c>
      <c r="C8" s="18">
        <f>C6*C7</f>
        <v>23932500196.51049</v>
      </c>
      <c r="D8" s="18">
        <f>D6*D7</f>
        <v>24894273707.84173</v>
      </c>
      <c r="E8" s="18">
        <f>E6*E7</f>
        <v>25894697935.959892</v>
      </c>
      <c r="F8" s="18">
        <f>F6*F7</f>
        <v>26935326134.1939</v>
      </c>
    </row>
    <row r="9" spans="1:6" x14ac:dyDescent="0.25">
      <c r="A9" t="s">
        <v>45</v>
      </c>
      <c r="B9" s="18">
        <f>B8*(1-Assumptions!B8)</f>
        <v>19677408313.734943</v>
      </c>
      <c r="C9" s="18">
        <f>C8*(1-Assumptions!B8)</f>
        <v>20468182780.773647</v>
      </c>
      <c r="D9" s="18">
        <f>D8*(1-Assumptions!B8)</f>
        <v>21290736039.396606</v>
      </c>
      <c r="E9" s="18">
        <f>E8*(1-Assumptions!B8)</f>
        <v>22146345181.412727</v>
      </c>
      <c r="F9" s="18">
        <f>F8*(1-Assumptions!B8)</f>
        <v>23036338621.019444</v>
      </c>
    </row>
    <row r="10" spans="1:6" x14ac:dyDescent="0.25">
      <c r="A10" t="s">
        <v>46</v>
      </c>
      <c r="B10" s="18">
        <f>B6*Assumptions!B9</f>
        <v>7656746436.981733</v>
      </c>
      <c r="C10" s="18">
        <f>C6*Assumptions!B9</f>
        <v>7964447506.473109</v>
      </c>
      <c r="D10" s="18">
        <f>D6*Assumptions!B9</f>
        <v>8284514134.749198</v>
      </c>
      <c r="E10" s="18">
        <f>E6*Assumptions!B9</f>
        <v>8617443255.55258</v>
      </c>
      <c r="F10" s="18">
        <f>F6*Assumptions!B9</f>
        <v>8963751772.863234</v>
      </c>
    </row>
    <row r="11" spans="1:6" x14ac:dyDescent="0.25">
      <c r="A11" t="s">
        <v>47</v>
      </c>
      <c r="B11" s="18">
        <f>-B6*Assumptions!B10</f>
        <v>-7656746436.981733</v>
      </c>
      <c r="C11" s="18">
        <f>-C6*Assumptions!B10</f>
        <v>-7964447506.473109</v>
      </c>
      <c r="D11" s="18">
        <f>-D6*Assumptions!B10</f>
        <v>-8284514134.749198</v>
      </c>
      <c r="E11" s="18">
        <f>-E6*Assumptions!B10</f>
        <v>-8617443255.55258</v>
      </c>
      <c r="F11" s="18">
        <f>-F6*Assumptions!B10</f>
        <v>-8963751772.863234</v>
      </c>
    </row>
    <row r="12" spans="1:6" x14ac:dyDescent="0.25">
      <c r="A12" t="s">
        <v>48</v>
      </c>
      <c r="B12" s="18">
        <f>-(B6-Assumptions!B29)*Assumptions!B11</f>
        <v>2033532101.7410572</v>
      </c>
      <c r="C12" s="18">
        <f>-(C6-B6)*Assumptions!B11</f>
        <v>2115253497.0753148</v>
      </c>
      <c r="D12" s="18">
        <f>-(D6-C6)*Assumptions!B11</f>
        <v>2200259023.724573</v>
      </c>
      <c r="E12" s="18">
        <f>-(E6-D6)*Assumptions!B11</f>
        <v>2288680660.816817</v>
      </c>
      <c r="F12" s="18">
        <f>-(F6-E6)*Assumptions!B11</f>
        <v>2380655691.3149033</v>
      </c>
    </row>
    <row r="13" spans="1:6" x14ac:dyDescent="0.25">
      <c r="A13" s="19" t="s">
        <v>49</v>
      </c>
      <c r="B13" s="20">
        <f>B9+B10+B11+B12</f>
        <v>21710940415.475998</v>
      </c>
      <c r="C13" s="20">
        <f>C9+C10+C11+C12</f>
        <v>22583436277.84896</v>
      </c>
      <c r="D13" s="20">
        <f>D9+D10+D11+D12</f>
        <v>23490995063.121178</v>
      </c>
      <c r="E13" s="20">
        <f>E9+E10+E11+E12</f>
        <v>24435025842.229546</v>
      </c>
      <c r="F13" s="20">
        <f>F9+F10+F11+F12</f>
        <v>25416994312.334343</v>
      </c>
    </row>
    <row r="14" spans="1:6" x14ac:dyDescent="0.25">
      <c r="A14" t="s">
        <v>50</v>
      </c>
      <c r="B14" s="21">
        <f>1/(1+Assumptions!$B$26)^(1-0.5*Assumptions!$B$32)</f>
        <v>0.960477481807097</v>
      </c>
      <c r="C14" s="21">
        <f>1/(1+Assumptions!$B$26)^(2-0.5*Assumptions!$B$32)</f>
        <v>0.8860567984170856</v>
      </c>
      <c r="D14" s="21">
        <f>1/(1+Assumptions!$B$26)^(3-0.5*Assumptions!$B$32)</f>
        <v>0.8174024533547735</v>
      </c>
      <c r="E14" s="21">
        <f>1/(1+Assumptions!$B$26)^(4-0.5*Assumptions!$B$32)</f>
        <v>0.7540676533874883</v>
      </c>
      <c r="F14" s="21">
        <f>1/(1+Assumptions!$B$26)^(5-0.5*Assumptions!$B$32)</f>
        <v>0.6956402241657067</v>
      </c>
    </row>
    <row r="15" spans="1:6" x14ac:dyDescent="0.25">
      <c r="A15" s="19" t="s">
        <v>51</v>
      </c>
      <c r="B15" s="20">
        <f>B13*B14</f>
        <v>20852869377.920315</v>
      </c>
      <c r="C15" s="20">
        <f>C13*C14</f>
        <v>20010207245.607117</v>
      </c>
      <c r="D15" s="20">
        <f>D13*D14</f>
        <v>19201596996.340122</v>
      </c>
      <c r="E15" s="20">
        <f>E13*E14</f>
        <v>18425662597.312668</v>
      </c>
      <c r="F15" s="20">
        <f>F13*F14</f>
        <v>17681083621.050755</v>
      </c>
    </row>
    <row r="17" spans="1:2" x14ac:dyDescent="0.25">
      <c r="A17" s="22" t="s">
        <v>52</v>
      </c>
      <c r="B17" s="23">
        <f>SUM(B15:F15)</f>
        <v>96171419838.23097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25416994312.334343</v>
      </c>
    </row>
    <row r="5" spans="1:2" x14ac:dyDescent="0.25">
      <c r="A5" t="s">
        <v>56</v>
      </c>
      <c r="B5" s="18">
        <f>IF(Assumptions!$B$33=0,B4,B4-Forecast!F11-Forecast!F10-Forecast!F12)</f>
        <v>23036338621.019444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0.2976513914060653</v>
      </c>
    </row>
    <row r="7" spans="1:2" x14ac:dyDescent="0.25">
      <c r="A7" t="s">
        <v>58</v>
      </c>
      <c r="B7" s="18">
        <f>-MAX(Forecast!F9,0)*B6</f>
        <v>-6856798243.447717</v>
      </c>
    </row>
    <row r="8" spans="1:2" x14ac:dyDescent="0.25">
      <c r="A8" t="s">
        <v>59</v>
      </c>
      <c r="B8" s="18">
        <f>IF(OR(Assumptions!$B$33=0,Assumptions!B12&lt;=0),B5,MAX(B5+B7,0))</f>
        <v>16179540377.571728</v>
      </c>
    </row>
    <row r="9" spans="1:2" x14ac:dyDescent="0.25">
      <c r="A9" t="s">
        <v>60</v>
      </c>
      <c r="B9" s="18">
        <f>B8*(1+Assumptions!B12)/(Assumptions!B26-Assumptions!B12)</f>
        <v>281128727981.3563</v>
      </c>
    </row>
    <row r="10" spans="1:2" x14ac:dyDescent="0.25">
      <c r="A10" t="s">
        <v>61</v>
      </c>
      <c r="B10" s="18">
        <f>B9/(1+Assumptions!B26)^(5-0.5*Assumptions!B32)</f>
        <v>195564451352.3707</v>
      </c>
    </row>
    <row r="11" spans="1:2" x14ac:dyDescent="0.25">
      <c r="A11" t="s">
        <v>62</v>
      </c>
      <c r="B11" s="18">
        <f>Forecast!B17+B10</f>
        <v>291735871190.6017</v>
      </c>
    </row>
    <row r="12" spans="1:2" x14ac:dyDescent="0.25">
      <c r="A12" t="s">
        <v>63</v>
      </c>
      <c r="B12" s="18">
        <f>-Assumptions!B30</f>
        <v>-18825000000</v>
      </c>
    </row>
    <row r="13" spans="1:2" x14ac:dyDescent="0.25">
      <c r="A13" t="s">
        <v>64</v>
      </c>
      <c r="B13" s="18">
        <f>B11+B12</f>
        <v>272910871190.60168</v>
      </c>
    </row>
    <row r="14" spans="1:2" x14ac:dyDescent="0.25">
      <c r="A14" s="19" t="s">
        <v>65</v>
      </c>
      <c r="B14" s="24">
        <f>B13/Assumptions!B31</f>
        <v>84.17199864004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35899077907.05714</v>
      </c>
    </row>
    <row r="18" spans="1:2" x14ac:dyDescent="0.25">
      <c r="A18" t="s">
        <v>60</v>
      </c>
      <c r="B18" s="18">
        <f>B17*Assumptions!B13</f>
        <v>304596592352.25494</v>
      </c>
    </row>
    <row r="19" spans="1:2" x14ac:dyDescent="0.25">
      <c r="A19" t="s">
        <v>61</v>
      </c>
      <c r="B19" s="18">
        <f>B18/(1+Assumptions!B26)^(5-0.5*Assumptions!B32)</f>
        <v>211889641784.03302</v>
      </c>
    </row>
    <row r="20" spans="1:2" x14ac:dyDescent="0.25">
      <c r="A20" t="s">
        <v>62</v>
      </c>
      <c r="B20" s="18">
        <f>Forecast!B17+B19</f>
        <v>308061061622.264</v>
      </c>
    </row>
    <row r="21" spans="1:2" x14ac:dyDescent="0.25">
      <c r="A21" t="s">
        <v>63</v>
      </c>
      <c r="B21" s="18">
        <f>-Assumptions!B30</f>
        <v>-18825000000</v>
      </c>
    </row>
    <row r="22" spans="1:2" x14ac:dyDescent="0.25">
      <c r="A22" t="s">
        <v>64</v>
      </c>
      <c r="B22" s="18">
        <f>B20+B21</f>
        <v>289236061622.264</v>
      </c>
    </row>
    <row r="23" spans="1:2" x14ac:dyDescent="0.25">
      <c r="A23" s="19" t="s">
        <v>65</v>
      </c>
      <c r="B23" s="25">
        <f>B22/Assumptions!B31</f>
        <v>89.2070633878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86.12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84.17199864004</v>
      </c>
    </row>
    <row r="29" spans="1:2" x14ac:dyDescent="0.25">
      <c r="A29" s="19" t="s">
        <v>73</v>
      </c>
      <c r="B29" s="12">
        <f>B28/B26-1</f>
        <v>-0.022619616348815597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0.063991</v>
      </c>
      <c r="B5" s="31">
        <v>110.48054671881879</v>
      </c>
      <c r="C5" s="31">
        <v>110.9004899349945</v>
      </c>
      <c r="D5" s="31">
        <v>111.32043315117014</v>
      </c>
      <c r="E5" s="31">
        <v>111.74037636734582</v>
      </c>
      <c r="F5" s="31">
        <v>112.1603195835215</v>
      </c>
    </row>
    <row r="6" spans="1:6" x14ac:dyDescent="0.25">
      <c r="A6" s="30">
        <v>0.073991</v>
      </c>
      <c r="B6" s="31">
        <v>95.21791173130114</v>
      </c>
      <c r="C6" s="31">
        <v>95.5661275336158</v>
      </c>
      <c r="D6" s="31">
        <v>95.91434333593044</v>
      </c>
      <c r="E6" s="31">
        <v>96.26255913824511</v>
      </c>
      <c r="F6" s="31">
        <v>96.61077494055976</v>
      </c>
    </row>
    <row r="7" spans="1:6" x14ac:dyDescent="0.25">
      <c r="A7" s="30">
        <v>0.083991</v>
      </c>
      <c r="B7" s="31">
        <v>83.58341324833759</v>
      </c>
      <c r="C7" s="31">
        <v>83.87763987048797</v>
      </c>
      <c r="D7" s="32">
        <v>84.17186649263834</v>
      </c>
      <c r="E7" s="31">
        <v>84.46609311478872</v>
      </c>
      <c r="F7" s="31">
        <v>84.7603197369391</v>
      </c>
    </row>
    <row r="8" spans="1:6" x14ac:dyDescent="0.25">
      <c r="A8" s="30">
        <v>0.093991</v>
      </c>
      <c r="B8" s="31">
        <v>74.41937185468622</v>
      </c>
      <c r="C8" s="31">
        <v>74.6716514468899</v>
      </c>
      <c r="D8" s="31">
        <v>74.92393103909356</v>
      </c>
      <c r="E8" s="31">
        <v>75.17621063129725</v>
      </c>
      <c r="F8" s="31">
        <v>75.42849022350093</v>
      </c>
    </row>
    <row r="9" spans="1:6" x14ac:dyDescent="0.25">
      <c r="A9" s="30">
        <v>0.103991</v>
      </c>
      <c r="B9" s="31">
        <v>67.01338449005365</v>
      </c>
      <c r="C9" s="31">
        <v>67.23225618903581</v>
      </c>
      <c r="D9" s="31">
        <v>67.45112788801798</v>
      </c>
      <c r="E9" s="31">
        <v>67.66999958700013</v>
      </c>
      <c r="F9" s="31">
        <v>67.88887128598228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83699000000</v>
      </c>
      <c r="C5" s="18">
        <v>82296000000</v>
      </c>
      <c r="D5" s="18">
        <v>82597000000</v>
      </c>
      <c r="E5" s="18">
        <v>74368000000</v>
      </c>
      <c r="F5" s="8" t="s">
        <v>84</v>
      </c>
    </row>
    <row r="6" spans="1:6" x14ac:dyDescent="0.25">
      <c r="A6" t="s">
        <v>44</v>
      </c>
      <c r="B6" s="18">
        <v>25199000000</v>
      </c>
      <c r="C6" s="18">
        <v>23364000000</v>
      </c>
      <c r="D6" s="18">
        <v>21636000000</v>
      </c>
      <c r="E6" s="18">
        <v>15629000000</v>
      </c>
      <c r="F6" s="8" t="s">
        <v>85</v>
      </c>
    </row>
    <row r="7" spans="1:6" x14ac:dyDescent="0.25">
      <c r="A7" t="s">
        <v>86</v>
      </c>
      <c r="B7" s="18">
        <v>7713000000</v>
      </c>
      <c r="C7" s="18">
        <v>7558000000</v>
      </c>
      <c r="D7" s="18">
        <v>6271000000</v>
      </c>
      <c r="E7" s="18">
        <v>6832000000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51961000000</v>
      </c>
      <c r="C9" s="18">
        <v>22029000000</v>
      </c>
      <c r="D9" s="18">
        <v>-4975000000</v>
      </c>
      <c r="E9" s="18">
        <v>-29407000000</v>
      </c>
      <c r="F9" s="8" t="s">
        <v>90</v>
      </c>
    </row>
    <row r="10" spans="1:6" x14ac:dyDescent="0.25">
      <c r="A10" t="s">
        <v>91</v>
      </c>
      <c r="B10" s="18">
        <v>193035000000</v>
      </c>
      <c r="C10" s="18">
        <v>175782000000</v>
      </c>
      <c r="D10" s="18">
        <v>219471000000</v>
      </c>
      <c r="E10" s="18">
        <v>195392000000</v>
      </c>
      <c r="F10" s="8" t="s">
        <v>92</v>
      </c>
    </row>
    <row r="11" spans="1:6" x14ac:dyDescent="0.25">
      <c r="A11" t="s">
        <v>93</v>
      </c>
      <c r="B11" s="18">
        <v>174210000000</v>
      </c>
      <c r="C11" s="18">
        <v>203361000000</v>
      </c>
      <c r="D11" s="18">
        <v>237219000000</v>
      </c>
      <c r="E11" s="18">
        <v>159157000000</v>
      </c>
      <c r="F11" s="8" t="s">
        <v>94</v>
      </c>
    </row>
    <row r="12" spans="1:6" x14ac:dyDescent="0.25">
      <c r="A12" t="s">
        <v>32</v>
      </c>
      <c r="B12" s="34">
        <v>3242300000</v>
      </c>
      <c r="C12" s="34">
        <v>3467600000</v>
      </c>
      <c r="D12" s="34">
        <v>3720400000</v>
      </c>
      <c r="E12" s="34">
        <v>3837000000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