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<sst xmlns="http://schemas.openxmlformats.org/spreadsheetml/2006/main" count="70" uniqueCount="67">
  <si>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Wells Fargo &amp; Company (WFC)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</si>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</sst>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0.9678399999999999</v>
      </c>
    </row>
    <row r="9" spans="1:2" x14ac:dyDescent="0.25">
      <c r="A9" t="s">
        <v>8</v>
      </c>
      <c r="B9" s="8">
        <f>B6+B8*B7</f>
        <v>0.089879632</v>
      </c>
    </row>
    <row r="10" spans="1:2" x14ac:dyDescent="0.25">
      <c r="A10" t="s">
        <v>9</v>
      </c>
      <c r="B10" s="8">
        <f>MEDIAN('Source data'!B9:E9)</f>
        <v>0.11189088744159195</v>
      </c>
    </row>
    <row r="11" spans="1:2" x14ac:dyDescent="0.25">
      <c r="A11" t="s">
        <v>10</v>
      </c>
      <c r="B11" s="8">
        <f>IFERROR(MIN(MAX(MEDIAN('Source data'!B10:E10),0),1),0)</f>
        <v>0.3297742186631076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164509000000</v>
      </c>
    </row>
    <row r="15" spans="1:2" x14ac:dyDescent="0.25">
      <c r="A15" t="s">
        <v>14</v>
      </c>
      <c r="B15" s="10">
        <f>'Source data'!B8</f>
        <v>3242300000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0.07499215746001925</v>
      </c>
    </row>
    <row r="18" spans="1:2" x14ac:dyDescent="0.25">
      <c r="A18" t="s">
        <v>17</v>
      </c>
      <c r="B18" s="8">
        <f>MIN(B10,B12)</f>
        <v>0.11189088744159195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0.11189088744159195</v>
      </c>
      <c r="C22" s="8">
        <f>$B$10+($B$18-$B$10)*C21/$B$16</f>
        <v>0.11189088744159195</v>
      </c>
      <c r="D22" s="8">
        <f>$B$10+($B$18-$B$10)*D21/$B$16</f>
        <v>0.11189088744159195</v>
      </c>
      <c r="E22" s="8">
        <f>$B$10+($B$18-$B$10)*E21/$B$16</f>
        <v>0.11189088744159195</v>
      </c>
      <c r="F22" s="8">
        <f>$B$10+($B$18-$B$10)*F21/$B$16</f>
        <v>0.11189088744159195</v>
      </c>
      <c r="G22" s="8">
        <f>$B$10+($B$18-$B$10)*G21/$B$16</f>
        <v>0.11189088744159195</v>
      </c>
      <c r="H22" s="8">
        <f>$B$10+($B$18-$B$10)*H21/$B$16</f>
        <v>0.11189088744159195</v>
      </c>
      <c r="I22" s="8">
        <f>$B$10+($B$18-$B$10)*I21/$B$16</f>
        <v>0.11189088744159195</v>
      </c>
      <c r="J22" s="8">
        <f>$B$10+($B$18-$B$10)*J21/$B$16</f>
        <v>0.11189088744159195</v>
      </c>
      <c r="K22" s="8">
        <f>$B$10+($B$18-$B$10)*K21/$B$16</f>
        <v>0.11189088744159195</v>
      </c>
    </row>
    <row r="23" spans="1:11" x14ac:dyDescent="0.25">
      <c r="A23" t="s">
        <v>31</v>
      </c>
      <c r="B23" s="8">
        <f>$B$17+($B$13-$B$17)*B21/$B$16</f>
        <v>0.06999294171401732</v>
      </c>
      <c r="C23" s="8">
        <f>$B$17+($B$13-$B$17)*C21/$B$16</f>
        <v>0.06499372596801539</v>
      </c>
      <c r="D23" s="8">
        <f>$B$17+($B$13-$B$17)*D21/$B$16</f>
        <v>0.05999451022201348</v>
      </c>
      <c r="E23" s="8">
        <f>$B$17+($B$13-$B$17)*E21/$B$16</f>
        <v>0.05499529447601155</v>
      </c>
      <c r="F23" s="8">
        <f>$B$17+($B$13-$B$17)*F21/$B$16</f>
        <v>0.04999607873000962</v>
      </c>
      <c r="G23" s="8">
        <f>$B$17+($B$13-$B$17)*G21/$B$16</f>
        <v>0.0449968629840077</v>
      </c>
      <c r="H23" s="8">
        <f>$B$17+($B$13-$B$17)*H21/$B$16</f>
        <v>0.03999764723800578</v>
      </c>
      <c r="I23" s="8">
        <f>$B$17+($B$13-$B$17)*I21/$B$16</f>
        <v>0.03499843149200385</v>
      </c>
      <c r="J23" s="8">
        <f>$B$17+($B$13-$B$17)*J21/$B$16</f>
        <v>0.029999215746001923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164509000000</v>
      </c>
      <c r="C24" s="9">
        <f>B24*(1+B23)</f>
        <v>176023468848.43127</v>
      </c>
      <c r="D24" s="9">
        <f>C24*(1+C23)</f>
        <v>187463889946.7057</v>
      </c>
      <c r="E24" s="9">
        <f>D24*(1+D23)</f>
        <v>198710694208.37173</v>
      </c>
      <c r="F24" s="9">
        <f>E24*(1+E23)</f>
        <v>209638847351.8938</v>
      </c>
      <c r="G24" s="9">
        <f>F24*(1+F23)</f>
        <v>220119967668.96753</v>
      </c>
      <c r="H24" s="9">
        <f>G24*(1+G23)</f>
        <v>230024675694.21225</v>
      </c>
      <c r="I24" s="9">
        <f>H24*(1+H23)</f>
        <v>239225121528.66602</v>
      </c>
      <c r="J24" s="9">
        <f>I24*(1+I23)</f>
        <v>247597625555.65332</v>
      </c>
      <c r="K24" s="9">
        <f>J24*(1+J23)</f>
        <v>255025360142.89514</v>
      </c>
    </row>
    <row r="25" spans="1:11" x14ac:dyDescent="0.25">
      <c r="A25" t="s">
        <v>33</v>
      </c>
      <c r="B25" s="9">
        <f>(B22-$B$9)*B24</f>
        <v>3621049621.4408503</v>
      </c>
      <c r="C25" s="9">
        <f>(C22-$B$9)*C24</f>
        <v>3874497536.5379243</v>
      </c>
      <c r="D25" s="9">
        <f>(D22-$B$9)*D24</f>
        <v>4126315567.69142</v>
      </c>
      <c r="E25" s="9">
        <f>(E22-$B$9)*E24</f>
        <v>4373871849.196536</v>
      </c>
      <c r="F25" s="9">
        <f>(F22-$B$9)*F24</f>
        <v>4614414219.543437</v>
      </c>
      <c r="G25" s="9">
        <f>(G22-$B$9)*G24</f>
        <v>4845116836.156606</v>
      </c>
      <c r="H25" s="9">
        <f>(H22-$B$9)*H24</f>
        <v>5063131894.574654</v>
      </c>
      <c r="I25" s="9">
        <f>(I22-$B$9)*I24</f>
        <v>5265645258.013346</v>
      </c>
      <c r="J25" s="9">
        <f>(J22-$B$9)*J24</f>
        <v>5449934582.83712</v>
      </c>
      <c r="K25" s="9">
        <f>(K22-$B$9)*K24</f>
        <v>5613428346.189248</v>
      </c>
    </row>
    <row r="26" spans="1:11" x14ac:dyDescent="0.25">
      <c r="A26" t="s">
        <v>34</v>
      </c>
      <c r="B26" s="14">
        <f>1/(1+$B$9)^B21</f>
        <v>0.9175325151869616</v>
      </c>
      <c r="C26" s="14">
        <f>1/(1+$B$9)^C21</f>
        <v>0.8418659164253118</v>
      </c>
      <c r="D26" s="14">
        <f>1/(1+$B$9)^D21</f>
        <v>0.7724393517478927</v>
      </c>
      <c r="E26" s="14">
        <f>1/(1+$B$9)^E21</f>
        <v>0.7087382212386302</v>
      </c>
      <c r="F26" s="14">
        <f>1/(1+$B$9)^F21</f>
        <v>0.6502903627422135</v>
      </c>
      <c r="G26" s="14">
        <f>1/(1+$B$9)^G21</f>
        <v>0.5966625521287047</v>
      </c>
      <c r="H26" s="14">
        <f>1/(1+$B$9)^H21</f>
        <v>0.547457292172522</v>
      </c>
      <c r="I26" s="14">
        <f>1/(1+$B$9)^I21</f>
        <v>0.5023098662444974</v>
      </c>
      <c r="J26" s="14">
        <f>1/(1+$B$9)^J21</f>
        <v>0.46088563497853996</v>
      </c>
      <c r="K26" s="14">
        <f>1/(1+$B$9)^K21</f>
        <v>0.4228775558753996</v>
      </c>
    </row>
    <row r="27" spans="1:11" x14ac:dyDescent="0.25">
      <c r="A27" s="15" t="s">
        <v>35</v>
      </c>
      <c r="B27" s="16">
        <f>B25*B26</f>
        <v>3322430766.777418</v>
      </c>
      <c r="C27" s="16">
        <f>C25*C26</f>
        <v>3261807419.285113</v>
      </c>
      <c r="D27" s="16">
        <f>D25*D26</f>
        <v>3187328522.2147985</v>
      </c>
      <c r="E27" s="16">
        <f>E25*E26</f>
        <v>3099930154.3252707</v>
      </c>
      <c r="F27" s="16">
        <f>F25*F26</f>
        <v>3000709096.6697297</v>
      </c>
      <c r="G27" s="16">
        <f>G25*G26</f>
        <v>2890899776.8229556</v>
      </c>
      <c r="H27" s="16">
        <f>H25*H26</f>
        <v>2771848476.916171</v>
      </c>
      <c r="I27" s="16">
        <f>I25*I26</f>
        <v>2644985565.2436557</v>
      </c>
      <c r="J27" s="16">
        <f>J25*J26</f>
        <v>2511796560.80239</v>
      </c>
      <c r="K27" s="16">
        <f>K25*K26</f>
        <v>2373792859.1181955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164509000000</v>
      </c>
    </row>
    <row r="31" spans="1:2" x14ac:dyDescent="0.25">
      <c r="A31" t="s">
        <v>38</v>
      </c>
      <c r="B31" s="9">
        <f>SUM(B27:K27)</f>
        <v>29065529198.175697</v>
      </c>
    </row>
    <row r="32" spans="1:2" x14ac:dyDescent="0.25">
      <c r="A32" t="s">
        <v>39</v>
      </c>
      <c r="B32" s="9">
        <f>K24*(1+K23)</f>
        <v>261400994146.4675</v>
      </c>
    </row>
    <row r="33" spans="1:2" x14ac:dyDescent="0.25">
      <c r="A33" t="s">
        <v>40</v>
      </c>
      <c r="B33" s="9">
        <f>(B18-B9)*B32</f>
        <v>5753764054.843979</v>
      </c>
    </row>
    <row r="34" spans="1:2" x14ac:dyDescent="0.25">
      <c r="A34" t="s">
        <v>41</v>
      </c>
      <c r="B34" s="9">
        <f>B33/(B9-B13)</f>
        <v>88683672787.23128</v>
      </c>
    </row>
    <row r="35" spans="1:2" x14ac:dyDescent="0.25">
      <c r="A35" t="s">
        <v>42</v>
      </c>
      <c r="B35" s="9">
        <f>B34*K26</f>
        <v>37502334794.31805</v>
      </c>
    </row>
    <row r="36" spans="1:2" x14ac:dyDescent="0.25">
      <c r="A36" s="15" t="s">
        <v>43</v>
      </c>
      <c r="B36" s="16">
        <f>B30+B31+B35</f>
        <v>231076863992.49374</v>
      </c>
    </row>
    <row r="37" spans="1:2" x14ac:dyDescent="0.25">
      <c r="A37" s="15" t="s">
        <v>44</v>
      </c>
      <c r="B37" s="17">
        <f>B36/B15</f>
        <v>71.26942725611255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83.4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71.26942725611255</v>
      </c>
    </row>
    <row r="43" spans="1:2" x14ac:dyDescent="0.25">
      <c r="A43" s="15" t="s">
        <v>48</v>
      </c>
      <c r="B43" s="21">
        <f>B42/B40-1</f>
        <v>-0.1454505125166361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20285000000</v>
      </c>
      <c r="C5" s="9">
        <v>18606000000</v>
      </c>
      <c r="D5" s="9">
        <v>17982000000</v>
      </c>
      <c r="E5" s="9">
        <v>12562000000</v>
      </c>
      <c r="F5" s="6" t="s">
        <v>57</v>
      </c>
    </row>
    <row r="6" spans="1:6" x14ac:dyDescent="0.25">
      <c r="A6" t="s">
        <v>37</v>
      </c>
      <c r="B6" s="9">
        <v>164509000000</v>
      </c>
      <c r="C6" s="9">
        <v>160512000000</v>
      </c>
      <c r="D6" s="9">
        <v>166287000000</v>
      </c>
      <c r="E6" s="9">
        <v>160779000000</v>
      </c>
      <c r="F6" s="6" t="s">
        <v>58</v>
      </c>
    </row>
    <row r="7" spans="1:6" x14ac:dyDescent="0.25">
      <c r="A7" t="s">
        <v>59</v>
      </c>
      <c r="B7" s="9">
        <v>6484000000</v>
      </c>
      <c r="C7" s="9">
        <v>6232000000</v>
      </c>
      <c r="D7" s="9">
        <v>5930000000</v>
      </c>
      <c r="E7" s="9">
        <v>5293000000</v>
      </c>
      <c r="F7" s="6" t="s">
        <v>60</v>
      </c>
    </row>
    <row r="8" spans="1:6" x14ac:dyDescent="0.25">
      <c r="A8" t="s">
        <v>14</v>
      </c>
      <c r="B8" s="10">
        <v>3242300000</v>
      </c>
      <c r="C8" s="10">
        <v>3467600000</v>
      </c>
      <c r="D8" s="10">
        <v>3720400000</v>
      </c>
      <c r="E8" s="10">
        <v>3837000000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0.12637684409888358</v>
      </c>
      <c r="C9" s="8">
        <f>IF(AND(ISNUMBER(C5),N(D6)&gt;0),C5/D6,"")</f>
        <v>0.11189088744159195</v>
      </c>
      <c r="D9" s="8">
        <f>IF(AND(ISNUMBER(D5),N(E6)&gt;0),D5/E6,"")</f>
        <v>0.11184296456626798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0.3196450579245748</v>
      </c>
      <c r="C10" s="8">
        <f>IF(AND(ISNUMBER(C9),N(C5)&gt;0,ISNUMBER(C7)),C7/C5,"")</f>
        <v>0.3349457164355584</v>
      </c>
      <c r="D10" s="8">
        <f>IF(AND(ISNUMBER(D9),N(D5)&gt;0,ISNUMBER(D7)),D7/D5,"")</f>
        <v>0.3297742186631076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