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<sst xmlns="http://schemas.openxmlformats.org/spreadsheetml/2006/main" count="115" uniqueCount="103">
  <si>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Westgold Resources Limited (WGX.AX)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</si>
  <si>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</si>
  <si>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</si>
  <si>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</si>
  <si>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</si>
  <si>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</si>
  <si>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</si>
  <si>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</si>
  <si>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</si>
  <si>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</si>
  <si>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</si>
  <si>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</si>
  <si>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</si>
  <si>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</si>
  <si>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</si>
  <si>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</si>
  <si>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</si>
  <si>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</si>
  <si>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</si>
  <si>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</si>
  <si>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</si>
  <si>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</si>
  <si>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</si>
  <si>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</si>
  <si>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</si>
  <si>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</si>
  <si>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</si>
  <si>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</si>
  <si>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</si>
  <si>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</si>
  <si>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2024-06-30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</si>
  <si>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</si>
  <si>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</si>
  <si>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</si>
  <si>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</si>
  <si>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</si>
  <si>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</si>
  <si>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</si>
  <si>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FY25</t>
  </si>
  <si>
    <t>FY26</t>
  </si>
  <si>
    <t>FY27</t>
  </si>
  <si>
    <t>FY28</t>
  </si>
  <si>
    <t>FY29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</si>
  <si>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</si>
  <si>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</si>
  <si>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</si>
  <si>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</si>
  <si>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</si>
  <si>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</si>
  <si>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</si>
  <si>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</si>
  <si>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</si>
  <si>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</si>
  <si>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</si>
  <si>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</si>
  <si>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</si>
  <si>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</si>
  <si>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</si>
  <si>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</si>
  <si>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</si>
  <si>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</si>
  <si>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</si>
  <si>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</si>
  <si>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</si>
  <si>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</si>
  <si>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</si>
  <si>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</si>
  <si>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</si>
  <si>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</si>
  <si>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</si>
  <si>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</si>
  <si>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</si>
  <si>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</si>
  <si>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</si>
  <si>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</si>
  <si>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</si>
  <si>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</si>
  <si>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</si>
  <si>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</si>
  <si>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2024-06-30</t>
  </si>
  <si>
    <t>2023-06-30</t>
  </si>
  <si>
    <t>2022-06-30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</si>
  <si>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</si>
  <si>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</si>
  <si>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</si>
  <si>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</si>
  <si>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</si>
  <si>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</si>
  <si>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</si>
  <si>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</si>
  <si>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</si>
  <si>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</si>
  <si>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</si>
  <si>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</si>
  <si>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</si>
  <si>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</si>
  <si>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</si>
  <si>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</si>
  <si>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Only 3 year(s) of history available to anchor assumptions on.</t>
  </si>
  <si>
    <t>Adjusted: Free cashflow is negative in at least one forecast year, so terminal value carries most of the valuation.</t>
  </si>
  <si>
    <t>Adjusted: Capital expenditure runs at 31.5% of revenue against depreciation of 8.1%. A perpetuity has to be a steady state, so the terminal year uses maintenance capex at depreciation and then charges the reinvestment terminal growth requires (g/ROIC of NOPAT). The bridge is shown under Terminal Value.</t>
  </si>
  <si>
    <t>Current EV/EBITDA of 29.1x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</si>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</sst>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0.05185094851056138</v>
      </c>
    </row>
    <row r="7" spans="1:2" x14ac:dyDescent="0.25">
      <c r="A7" t="s">
        <v>5</v>
      </c>
      <c r="B7" s="6">
        <v>0.0702833680098474</v>
      </c>
    </row>
    <row r="8" spans="1:2" x14ac:dyDescent="0.25">
      <c r="A8" t="s">
        <v>6</v>
      </c>
      <c r="B8" s="6">
        <v>0.29381249797300435</v>
      </c>
    </row>
    <row r="9" spans="1:2" x14ac:dyDescent="0.25">
      <c r="A9" t="s">
        <v>7</v>
      </c>
      <c r="B9" s="6">
        <v>0.08116736690138711</v>
      </c>
    </row>
    <row r="10" spans="1:2" x14ac:dyDescent="0.25">
      <c r="A10" t="s">
        <v>8</v>
      </c>
      <c r="B10" s="6">
        <v>0.3145968812531071</v>
      </c>
    </row>
    <row r="11" spans="1:2" x14ac:dyDescent="0.25">
      <c r="A11" t="s">
        <v>9</v>
      </c>
      <c r="B11" s="6">
        <v>-0.029962006206740943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0.12268682807643538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1.1608</v>
      </c>
      <c r="C19" s="8" t="s">
        <v>19</v>
      </c>
    </row>
    <row r="20" spans="1:2" x14ac:dyDescent="0.25">
      <c r="A20" t="s">
        <v>20</v>
      </c>
      <c r="B20" s="10">
        <f>B17+B19*B18</f>
        <v>0.123128</v>
      </c>
    </row>
    <row r="21" spans="1:3" x14ac:dyDescent="0.25">
      <c r="A21" t="s">
        <v>21</v>
      </c>
      <c r="B21" s="6">
        <v>0.11400578828790697</v>
      </c>
      <c r="C21" s="8" t="s">
        <v>22</v>
      </c>
    </row>
    <row r="22" spans="1:2" x14ac:dyDescent="0.25">
      <c r="A22" t="s">
        <v>23</v>
      </c>
      <c r="B22" s="11">
        <v>5220828160</v>
      </c>
    </row>
    <row r="23" spans="1:2" x14ac:dyDescent="0.25">
      <c r="A23" t="s">
        <v>24</v>
      </c>
      <c r="B23" s="11">
        <v>54609452</v>
      </c>
    </row>
    <row r="24" spans="1:2" x14ac:dyDescent="0.25">
      <c r="A24" t="s">
        <v>25</v>
      </c>
      <c r="B24" s="10">
        <f>B22/(B22+B23)</f>
        <v>0.9896483560196446</v>
      </c>
    </row>
    <row r="25" spans="1:2" x14ac:dyDescent="0.25">
      <c r="A25" t="s">
        <v>26</v>
      </c>
      <c r="B25" s="10">
        <f>1-B24</f>
        <v>0.010351643980355374</v>
      </c>
    </row>
    <row r="26" spans="1:2" x14ac:dyDescent="0.25">
      <c r="A26" t="s">
        <v>27</v>
      </c>
      <c r="B26" s="12">
        <f>B24*B20+B25*B21*(1-B8)</f>
        <v>0.12268682807643538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716472565</v>
      </c>
      <c r="C29" s="8" t="s">
        <v>30</v>
      </c>
    </row>
    <row r="30" spans="1:2" x14ac:dyDescent="0.25">
      <c r="A30" t="s">
        <v>31</v>
      </c>
      <c r="B30" s="11">
        <v>-181429710</v>
      </c>
    </row>
    <row r="31" spans="1:2" x14ac:dyDescent="0.25">
      <c r="A31" t="s">
        <v>32</v>
      </c>
      <c r="B31" s="13">
        <v>481210359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0.05185094851056138</v>
      </c>
      <c r="C5" s="10">
        <f>Assumptions!B6</f>
        <v>0.05185094851056138</v>
      </c>
      <c r="D5" s="10">
        <f>Assumptions!B6</f>
        <v>0.05185094851056138</v>
      </c>
      <c r="E5" s="10">
        <f>Assumptions!B6</f>
        <v>0.05185094851056138</v>
      </c>
      <c r="F5" s="10">
        <f>Assumptions!B6</f>
        <v>0.05185094851056138</v>
      </c>
    </row>
    <row r="6" spans="1:6" x14ac:dyDescent="0.25">
      <c r="A6" t="s">
        <v>43</v>
      </c>
      <c r="B6" s="18">
        <f>Assumptions!B29*(1+B5)</f>
        <v>753622347.0770448</v>
      </c>
      <c r="C6" s="18">
        <f>B6*(1+C5)</f>
        <v>792698380.5917451</v>
      </c>
      <c r="D6" s="18">
        <f>C6*(1+D5)</f>
        <v>833800543.508213</v>
      </c>
      <c r="E6" s="18">
        <f>D6*(1+E5)</f>
        <v>877033892.5577354</v>
      </c>
      <c r="F6" s="18">
        <f>E6*(1+F5)</f>
        <v>922508931.7627639</v>
      </c>
    </row>
    <row r="7" spans="1:6" x14ac:dyDescent="0.25">
      <c r="A7" t="s">
        <v>5</v>
      </c>
      <c r="B7" s="10">
        <f>Assumptions!B7</f>
        <v>0.0702833680098474</v>
      </c>
      <c r="C7" s="10">
        <f>Assumptions!B7</f>
        <v>0.0702833680098474</v>
      </c>
      <c r="D7" s="10">
        <f>Assumptions!B7</f>
        <v>0.0702833680098474</v>
      </c>
      <c r="E7" s="10">
        <f>Assumptions!B7</f>
        <v>0.0702833680098474</v>
      </c>
      <c r="F7" s="10">
        <f>Assumptions!B7</f>
        <v>0.0702833680098474</v>
      </c>
    </row>
    <row r="8" spans="1:6" x14ac:dyDescent="0.25">
      <c r="A8" t="s">
        <v>44</v>
      </c>
      <c r="B8" s="18">
        <f>B6*B7</f>
        <v>52967116.760060884</v>
      </c>
      <c r="C8" s="18">
        <f>C6*C7</f>
        <v>55713512.003939696</v>
      </c>
      <c r="D8" s="18">
        <f>D6*D7</f>
        <v>58602310.446198516</v>
      </c>
      <c r="E8" s="18">
        <f>E6*E7</f>
        <v>61640895.82774428</v>
      </c>
      <c r="F8" s="18">
        <f>F6*F7</f>
        <v>64837034.74345353</v>
      </c>
    </row>
    <row r="9" spans="1:6" x14ac:dyDescent="0.25">
      <c r="A9" t="s">
        <v>45</v>
      </c>
      <c r="B9" s="18">
        <f>B8*(1-Assumptions!B8)</f>
        <v>37404715.87435961</v>
      </c>
      <c r="C9" s="18">
        <f>C8*(1-Assumptions!B8)</f>
        <v>39344185.87121321</v>
      </c>
      <c r="D9" s="18">
        <f>D8*(1-Assumptions!B8)</f>
        <v>41384219.22701144</v>
      </c>
      <c r="E9" s="18">
        <f>E8*(1-Assumptions!B8)</f>
        <v>43530030.24730099</v>
      </c>
      <c r="F9" s="18">
        <f>F8*(1-Assumptions!B8)</f>
        <v>45787103.60431698</v>
      </c>
    </row>
    <row r="10" spans="1:6" x14ac:dyDescent="0.25">
      <c r="A10" t="s">
        <v>46</v>
      </c>
      <c r="B10" s="18">
        <f>B6*Assumptions!B9</f>
        <v>61169541.550287</v>
      </c>
      <c r="C10" s="18">
        <f>C6*Assumptions!B9</f>
        <v>64341240.299625576</v>
      </c>
      <c r="D10" s="18">
        <f>D6*Assumptions!B9</f>
        <v>67677394.63750711</v>
      </c>
      <c r="E10" s="18">
        <f>E6*Assumptions!B9</f>
        <v>71186531.74218543</v>
      </c>
      <c r="F10" s="18">
        <f>F6*Assumptions!B9</f>
        <v>74877620.93419494</v>
      </c>
    </row>
    <row r="11" spans="1:6" x14ac:dyDescent="0.25">
      <c r="A11" t="s">
        <v>47</v>
      </c>
      <c r="B11" s="18">
        <f>-B6*Assumptions!B10</f>
        <v>-237087240.03308493</v>
      </c>
      <c r="C11" s="18">
        <f>-C6*Assumptions!B10</f>
        <v>-249380438.30855152</v>
      </c>
      <c r="D11" s="18">
        <f>-D6*Assumptions!B10</f>
        <v>-262311050.57482946</v>
      </c>
      <c r="E11" s="18">
        <f>-E6*Assumptions!B10</f>
        <v>-275912127.35193616</v>
      </c>
      <c r="F11" s="18">
        <f>-F6*Assumptions!B10</f>
        <v>-290218432.8607009</v>
      </c>
    </row>
    <row r="12" spans="1:6" x14ac:dyDescent="0.25">
      <c r="A12" t="s">
        <v>48</v>
      </c>
      <c r="B12" s="18">
        <f>-(B6-Assumptions!B29)*Assumptions!B11</f>
        <v>1113082.001171491</v>
      </c>
      <c r="C12" s="18">
        <f>-(C6-B6)*Assumptions!B11</f>
        <v>1170796.3587022673</v>
      </c>
      <c r="D12" s="18">
        <f>-(D6-C6)*Assumptions!B11</f>
        <v>1231503.2604136888</v>
      </c>
      <c r="E12" s="18">
        <f>-(E6-D6)*Assumptions!B11</f>
        <v>1295357.8725599877</v>
      </c>
      <c r="F12" s="18">
        <f>-(F6-E6)*Assumptions!B11</f>
        <v>1362523.406912849</v>
      </c>
    </row>
    <row r="13" spans="1:6" x14ac:dyDescent="0.25">
      <c r="A13" s="19" t="s">
        <v>49</v>
      </c>
      <c r="B13" s="20">
        <f>B9+B10+B11+B12</f>
        <v>-137399900.6072668</v>
      </c>
      <c r="C13" s="20">
        <f>C9+C10+C11+C12</f>
        <v>-144524215.77901044</v>
      </c>
      <c r="D13" s="20">
        <f>D9+D10+D11+D12</f>
        <v>-152017933.44989723</v>
      </c>
      <c r="E13" s="20">
        <f>E9+E10+E11+E12</f>
        <v>-159900207.48988974</v>
      </c>
      <c r="F13" s="20">
        <f>F9+F10+F11+F12</f>
        <v>-168191184.9152761</v>
      </c>
    </row>
    <row r="14" spans="1:6" x14ac:dyDescent="0.25">
      <c r="A14" t="s">
        <v>50</v>
      </c>
      <c r="B14" s="21">
        <f>1/(1+Assumptions!$B$26)^(1-0.5*Assumptions!$B$32)</f>
        <v>0.9437798186235365</v>
      </c>
      <c r="C14" s="21">
        <f>1/(1+Assumptions!$B$26)^(2-0.5*Assumptions!$B$32)</f>
        <v>0.84064388663094</v>
      </c>
      <c r="D14" s="21">
        <f>1/(1+Assumptions!$B$26)^(3-0.5*Assumptions!$B$32)</f>
        <v>0.7487786135972258</v>
      </c>
      <c r="E14" s="21">
        <f>1/(1+Assumptions!$B$26)^(4-0.5*Assumptions!$B$32)</f>
        <v>0.6669523458114778</v>
      </c>
      <c r="F14" s="21">
        <f>1/(1+Assumptions!$B$26)^(5-0.5*Assumptions!$B$32)</f>
        <v>0.5940680242541065</v>
      </c>
    </row>
    <row r="15" spans="1:6" x14ac:dyDescent="0.25">
      <c r="A15" s="19" t="s">
        <v>51</v>
      </c>
      <c r="B15" s="20">
        <f>B13*B14</f>
        <v>-129675253.27401823</v>
      </c>
      <c r="C15" s="20">
        <f>C13*C14</f>
        <v>-121493398.46475597</v>
      </c>
      <c r="D15" s="20">
        <f>D13*D14</f>
        <v>-113827777.45052938</v>
      </c>
      <c r="E15" s="20">
        <f>E13*E14</f>
        <v>-106645818.48112398</v>
      </c>
      <c r="F15" s="20">
        <f>F13*F14</f>
        <v>-99917004.91957517</v>
      </c>
    </row>
    <row r="17" spans="1:2" x14ac:dyDescent="0.25">
      <c r="A17" s="22" t="s">
        <v>52</v>
      </c>
      <c r="B17" s="23">
        <f>SUM(B15:F15)</f>
        <v>-571559252.5900028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-168191184.9152761</v>
      </c>
    </row>
    <row r="5" spans="1:2" x14ac:dyDescent="0.25">
      <c r="A5" t="s">
        <v>56</v>
      </c>
      <c r="B5" s="18">
        <f>IF(Assumptions!$B$33=0,B4,B4-Forecast!F11-Forecast!F10-Forecast!F12)</f>
        <v>45787103.60431698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0.20377085618697957</v>
      </c>
    </row>
    <row r="7" spans="1:2" x14ac:dyDescent="0.25">
      <c r="A7" t="s">
        <v>58</v>
      </c>
      <c r="B7" s="18">
        <f>-MAX(Forecast!F9,0)*B6</f>
        <v>-9330077.30377361</v>
      </c>
    </row>
    <row r="8" spans="1:2" x14ac:dyDescent="0.25">
      <c r="A8" t="s">
        <v>59</v>
      </c>
      <c r="B8" s="18">
        <f>IF(OR(Assumptions!$B$33=0,Assumptions!B12&lt;=0),B5,MAX(B5+B7,0))</f>
        <v>36457026.30054337</v>
      </c>
    </row>
    <row r="9" spans="1:2" x14ac:dyDescent="0.25">
      <c r="A9" t="s">
        <v>60</v>
      </c>
      <c r="B9" s="18">
        <f>B8*(1+Assumptions!B12)/(Assumptions!B26-Assumptions!B12)</f>
        <v>382533169.4547179</v>
      </c>
    </row>
    <row r="10" spans="1:2" x14ac:dyDescent="0.25">
      <c r="A10" t="s">
        <v>61</v>
      </c>
      <c r="B10" s="18">
        <f>B9/(1+Assumptions!B26)^(5-0.5*Assumptions!B32)</f>
        <v>227250724.1896256</v>
      </c>
    </row>
    <row r="11" spans="1:2" x14ac:dyDescent="0.25">
      <c r="A11" t="s">
        <v>62</v>
      </c>
      <c r="B11" s="18">
        <f>Forecast!B17+B10</f>
        <v>-344308528.40037715</v>
      </c>
    </row>
    <row r="12" spans="1:2" x14ac:dyDescent="0.25">
      <c r="A12" t="s">
        <v>63</v>
      </c>
      <c r="B12" s="18">
        <f>-Assumptions!B30</f>
        <v>181429710</v>
      </c>
    </row>
    <row r="13" spans="1:2" x14ac:dyDescent="0.25">
      <c r="A13" t="s">
        <v>64</v>
      </c>
      <c r="B13" s="18">
        <f>B11+B12</f>
        <v>-162878818.40037715</v>
      </c>
    </row>
    <row r="14" spans="1:2" x14ac:dyDescent="0.25">
      <c r="A14" s="19" t="s">
        <v>65</v>
      </c>
      <c r="B14" s="24">
        <f>B13/Assumptions!B31</f>
        <v>-0.33847737346896384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139714655.67764848</v>
      </c>
    </row>
    <row r="18" spans="1:2" x14ac:dyDescent="0.25">
      <c r="A18" t="s">
        <v>60</v>
      </c>
      <c r="B18" s="18">
        <f>B17*Assumptions!B13</f>
        <v>2794293113.55297</v>
      </c>
    </row>
    <row r="19" spans="1:2" x14ac:dyDescent="0.25">
      <c r="A19" t="s">
        <v>61</v>
      </c>
      <c r="B19" s="18">
        <f>B18/(1+Assumptions!B26)^(5-0.5*Assumptions!B32)</f>
        <v>1660000189.1552687</v>
      </c>
    </row>
    <row r="20" spans="1:2" x14ac:dyDescent="0.25">
      <c r="A20" t="s">
        <v>62</v>
      </c>
      <c r="B20" s="18">
        <f>Forecast!B17+B19</f>
        <v>1088440936.565266</v>
      </c>
    </row>
    <row r="21" spans="1:2" x14ac:dyDescent="0.25">
      <c r="A21" t="s">
        <v>63</v>
      </c>
      <c r="B21" s="18">
        <f>-Assumptions!B30</f>
        <v>181429710</v>
      </c>
    </row>
    <row r="22" spans="1:2" x14ac:dyDescent="0.25">
      <c r="A22" t="s">
        <v>64</v>
      </c>
      <c r="B22" s="18">
        <f>B20+B21</f>
        <v>1269870646.565266</v>
      </c>
    </row>
    <row r="23" spans="1:2" x14ac:dyDescent="0.25">
      <c r="A23" s="19" t="s">
        <v>65</v>
      </c>
      <c r="B23" s="25">
        <f>B22/Assumptions!B31</f>
        <v>2.6389096219877217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5.53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-0.33847737346896384</v>
      </c>
    </row>
    <row r="29" spans="1:2" x14ac:dyDescent="0.25">
      <c r="A29" s="19" t="s">
        <v>73</v>
      </c>
      <c r="B29" s="12">
        <f>B28/B26-1</f>
        <v>-1.0612074816399573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0.102687</v>
      </c>
      <c r="B5" s="31">
        <v>-0.25702169291625987</v>
      </c>
      <c r="C5" s="31">
        <v>-0.2540374951785297</v>
      </c>
      <c r="D5" s="31">
        <v>-0.25105329744079985</v>
      </c>
      <c r="E5" s="31">
        <v>-0.24806909970306965</v>
      </c>
      <c r="F5" s="31">
        <v>-0.24508490196533944</v>
      </c>
    </row>
    <row r="6" spans="1:6" x14ac:dyDescent="0.25">
      <c r="A6" s="30">
        <v>0.112687</v>
      </c>
      <c r="B6" s="31">
        <v>-0.306219278446732</v>
      </c>
      <c r="C6" s="31">
        <v>-0.30360816447780214</v>
      </c>
      <c r="D6" s="31">
        <v>-0.3009970505088723</v>
      </c>
      <c r="E6" s="31">
        <v>-0.2983859365399426</v>
      </c>
      <c r="F6" s="31">
        <v>-0.2957748225710128</v>
      </c>
    </row>
    <row r="7" spans="1:6" x14ac:dyDescent="0.25">
      <c r="A7" s="30">
        <v>0.122687</v>
      </c>
      <c r="B7" s="31">
        <v>-0.3430852194632189</v>
      </c>
      <c r="C7" s="31">
        <v>-0.34078157453965974</v>
      </c>
      <c r="D7" s="32">
        <v>-0.3384779296161008</v>
      </c>
      <c r="E7" s="31">
        <v>-0.33617428469254174</v>
      </c>
      <c r="F7" s="31">
        <v>-0.33387063976898257</v>
      </c>
    </row>
    <row r="8" spans="1:6" x14ac:dyDescent="0.25">
      <c r="A8" s="30">
        <v>0.132687</v>
      </c>
      <c r="B8" s="31">
        <v>-0.37063403247804955</v>
      </c>
      <c r="C8" s="31">
        <v>-0.36858732766424596</v>
      </c>
      <c r="D8" s="31">
        <v>-0.36654062285044237</v>
      </c>
      <c r="E8" s="31">
        <v>-0.3644939180366386</v>
      </c>
      <c r="F8" s="31">
        <v>-0.36244721322283513</v>
      </c>
    </row>
    <row r="9" spans="1:6" x14ac:dyDescent="0.25">
      <c r="A9" s="30">
        <v>0.142687</v>
      </c>
      <c r="B9" s="31">
        <v>-0.39102147076172566</v>
      </c>
      <c r="C9" s="31">
        <v>-0.38919201879305093</v>
      </c>
      <c r="D9" s="31">
        <v>-0.38736256682437636</v>
      </c>
      <c r="E9" s="31">
        <v>-0.3855331148557016</v>
      </c>
      <c r="F9" s="31">
        <v>-0.383703662887027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716472565</v>
      </c>
      <c r="C5" s="18">
        <v>654371234</v>
      </c>
      <c r="D5" s="18">
        <v>647576618</v>
      </c>
      <c r="E5" s="8" t="s">
        <v>83</v>
      </c>
    </row>
    <row r="6" spans="1:5" x14ac:dyDescent="0.25">
      <c r="A6" t="s">
        <v>44</v>
      </c>
      <c r="B6" s="18">
        <v>129444456</v>
      </c>
      <c r="C6" s="18">
        <v>5402431</v>
      </c>
      <c r="D6" s="18">
        <v>14198175</v>
      </c>
      <c r="E6" s="8" t="s">
        <v>84</v>
      </c>
    </row>
    <row r="7" spans="1:5" x14ac:dyDescent="0.25">
      <c r="A7" t="s">
        <v>85</v>
      </c>
      <c r="B7" s="18">
        <v>43847409</v>
      </c>
      <c r="C7" s="18">
        <v>52959553</v>
      </c>
      <c r="D7" s="18">
        <v>65645570</v>
      </c>
      <c r="E7" s="8" t="s">
        <v>86</v>
      </c>
    </row>
    <row r="8" spans="1:5" x14ac:dyDescent="0.25">
      <c r="A8" t="s">
        <v>87</v>
      </c>
      <c r="B8" s="18">
        <v>273083139</v>
      </c>
      <c r="C8" s="18">
        <v>159540589</v>
      </c>
      <c r="D8" s="18">
        <v>206469257</v>
      </c>
      <c r="E8" s="8" t="s">
        <v>88</v>
      </c>
    </row>
    <row r="9" spans="1:5" x14ac:dyDescent="0.25">
      <c r="A9" t="s">
        <v>89</v>
      </c>
      <c r="B9" s="18">
        <v>-49715164</v>
      </c>
      <c r="C9" s="18">
        <v>5032263</v>
      </c>
      <c r="D9" s="18">
        <v>0</v>
      </c>
      <c r="E9" s="8" t="s">
        <v>90</v>
      </c>
    </row>
    <row r="10" spans="1:5" x14ac:dyDescent="0.25">
      <c r="A10" t="s">
        <v>91</v>
      </c>
      <c r="B10" s="18">
        <v>54609452</v>
      </c>
      <c r="C10" s="18">
        <v>27490818</v>
      </c>
      <c r="D10" s="18">
        <v>42959811</v>
      </c>
      <c r="E10" s="8" t="s">
        <v>92</v>
      </c>
    </row>
    <row r="11" spans="1:5" x14ac:dyDescent="0.25">
      <c r="A11" t="s">
        <v>93</v>
      </c>
      <c r="B11" s="18">
        <v>236039162</v>
      </c>
      <c r="C11" s="18">
        <v>176411855</v>
      </c>
      <c r="D11" s="18">
        <v>182701502</v>
      </c>
      <c r="E11" s="8" t="s">
        <v>94</v>
      </c>
    </row>
    <row r="12" spans="1:5" x14ac:dyDescent="0.25">
      <c r="A12" t="s">
        <v>32</v>
      </c>
      <c r="B12" s="34">
        <v>481210359</v>
      </c>
      <c r="C12" s="34">
        <v>473622730</v>
      </c>
      <c r="D12" s="34">
        <v>438907701</v>
      </c>
      <c r="E12" s="8" t="s">
        <v>95</v>
      </c>
    </row>
    <row r="15" spans="1:1" x14ac:dyDescent="0.25">
      <c r="A15" s="19" t="s">
        <v>96</v>
      </c>
    </row>
    <row r="16" ht="22" customHeight="1" spans="1:5" x14ac:dyDescent="0.25">
      <c r="A16" s="35" t="s">
        <v>97</v>
      </c>
      <c r="B16" s="35"/>
      <c r="C16" s="35"/>
      <c r="D16" s="35"/>
      <c r="E16" s="35"/>
    </row>
    <row r="17" ht="22" customHeight="1" spans="1:5" x14ac:dyDescent="0.25">
      <c r="A17" s="35" t="s">
        <v>98</v>
      </c>
      <c r="B17" s="35"/>
      <c r="C17" s="35"/>
      <c r="D17" s="35"/>
      <c r="E17" s="35"/>
    </row>
    <row r="18" ht="22" customHeight="1" spans="1:5" x14ac:dyDescent="0.25">
      <c r="A18" s="35" t="s">
        <v>99</v>
      </c>
      <c r="B18" s="35"/>
      <c r="C18" s="35"/>
      <c r="D18" s="35"/>
      <c r="E18" s="35"/>
    </row>
    <row r="19" ht="54" customHeight="1" spans="1:5" x14ac:dyDescent="0.25">
      <c r="A19" s="35" t="s">
        <v>100</v>
      </c>
      <c r="B19" s="35"/>
      <c r="C19" s="35"/>
      <c r="D19" s="35"/>
      <c r="E19" s="35"/>
    </row>
    <row r="20" ht="38" customHeight="1" spans="1:5" x14ac:dyDescent="0.25">
      <c r="A20" s="35" t="s">
        <v>101</v>
      </c>
      <c r="B20" s="35"/>
      <c r="C20" s="35"/>
      <c r="D20" s="35"/>
      <c r="E20" s="35"/>
    </row>
    <row r="22" spans="1:1" x14ac:dyDescent="0.25">
      <c r="A22" s="36" t="s">
        <v>102</v>
      </c>
    </row>
  </sheetData>
  <mergeCells count="5">
    <mergeCell ref="A16:E16"/>
    <mergeCell ref="A17:E17"/>
    <mergeCell ref="A18:E18"/>
    <mergeCell ref="A19:E19"/>
    <mergeCell ref="A20:E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2026-09-19T00:07:14Z</dcterms:modified>
</cp:coreProperties>
</file>