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<sst xmlns="http://schemas.openxmlformats.org/spreadsheetml/2006/main" count="113" uniqueCount="101">
  <si>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Whitehaven Coal Limited (WHC.AX)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</si>
  <si>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</si>
  <si>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</si>
  <si>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</si>
  <si>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</si>
  <si>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</si>
  <si>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</si>
  <si>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</si>
  <si>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</si>
  <si>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</si>
  <si>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</si>
  <si>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</si>
  <si>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</si>
  <si>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</si>
  <si>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</si>
  <si>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</si>
  <si>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</si>
  <si>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</si>
  <si>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</si>
  <si>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Clamped from a reported -0.300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</si>
  <si>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</si>
  <si>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</si>
  <si>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</si>
  <si>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</si>
  <si>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</si>
  <si>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</si>
  <si>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</si>
  <si>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</si>
  <si>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</si>
  <si>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</si>
  <si>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</si>
  <si>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</si>
  <si>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</si>
  <si>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</si>
  <si>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</si>
  <si>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</si>
  <si>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</si>
  <si>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</si>
  <si>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</si>
  <si>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</si>
  <si>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</si>
  <si>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</si>
  <si>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</si>
  <si>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</si>
  <si>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</si>
  <si>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</si>
  <si>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</si>
  <si>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</si>
  <si>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</si>
  <si>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</si>
  <si>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</si>
  <si>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</si>
  <si>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</si>
  <si>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</si>
  <si>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</si>
  <si>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</si>
  <si>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</si>
  <si>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</si>
  <si>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</si>
  <si>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</si>
  <si>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</si>
  <si>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</si>
  <si>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</si>
  <si>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</si>
  <si>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</si>
  <si>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</si>
  <si>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</si>
  <si>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</si>
  <si>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</si>
  <si>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</si>
  <si>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</si>
  <si>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</si>
  <si>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</si>
  <si>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</si>
  <si>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</si>
  <si>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</si>
  <si>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</si>
  <si>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</si>
  <si>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</si>
  <si>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</si>
  <si>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</si>
  <si>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</si>
  <si>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</si>
  <si>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</si>
  <si>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</si>
  <si>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</si>
  <si>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</si>
  <si>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</si>
  <si>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</si>
  <si>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</si>
  <si>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</si>
  <si>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</si>
  <si>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</si>
  <si>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</si>
  <si>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</si>
  <si>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</si>
  <si>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</si>
  <si>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</si>
  <si>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</si>
  <si>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Beta of -0.300 is not usable in a cost of equity. Clamped to 0.30.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</si>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</sst>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-0.03789895298256962</v>
      </c>
    </row>
    <row r="7" spans="1:2" x14ac:dyDescent="0.25">
      <c r="A7" t="s">
        <v>5</v>
      </c>
      <c r="B7" s="6">
        <v>0.3745646708469409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0.08775973381837811</v>
      </c>
    </row>
    <row r="10" spans="1:2" x14ac:dyDescent="0.25">
      <c r="A10" t="s">
        <v>8</v>
      </c>
      <c r="B10" s="6">
        <v>0.07358578488534043</v>
      </c>
    </row>
    <row r="11" spans="1:2" x14ac:dyDescent="0.25">
      <c r="A11" t="s">
        <v>9</v>
      </c>
      <c r="B11" s="6">
        <v>-0.1136890951276102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4.438650293891029</v>
      </c>
    </row>
    <row r="14" spans="1:3" x14ac:dyDescent="0.25">
      <c r="A14" t="s">
        <v>12</v>
      </c>
      <c r="B14" s="6">
        <v>0.13588751922972003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0.13272101033295064</v>
      </c>
      <c r="C21" s="8" t="s">
        <v>22</v>
      </c>
    </row>
    <row r="22" spans="1:2" x14ac:dyDescent="0.25">
      <c r="A22" t="s">
        <v>23</v>
      </c>
      <c r="B22" s="11">
        <v>6521027584</v>
      </c>
    </row>
    <row r="23" spans="1:2" x14ac:dyDescent="0.25">
      <c r="A23" t="s">
        <v>24</v>
      </c>
      <c r="B23" s="11">
        <v>2322000000</v>
      </c>
    </row>
    <row r="24" spans="1:2" x14ac:dyDescent="0.25">
      <c r="A24" t="s">
        <v>25</v>
      </c>
      <c r="B24" s="10">
        <f>B22/(B22+B23)</f>
        <v>0.7374202468619145</v>
      </c>
    </row>
    <row r="25" spans="1:2" x14ac:dyDescent="0.25">
      <c r="A25" t="s">
        <v>26</v>
      </c>
      <c r="B25" s="10">
        <f>1-B24</f>
        <v>0.26257975313808546</v>
      </c>
    </row>
    <row r="26" spans="1:2" x14ac:dyDescent="0.25">
      <c r="A26" t="s">
        <v>27</v>
      </c>
      <c r="B26" s="12">
        <f>B24*B20+B25*B21*(1-B8)</f>
        <v>0.07710569433631408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5401000000</v>
      </c>
      <c r="C29" s="8" t="s">
        <v>30</v>
      </c>
    </row>
    <row r="30" spans="1:2" x14ac:dyDescent="0.25">
      <c r="A30" t="s">
        <v>31</v>
      </c>
      <c r="B30" s="11">
        <v>1544000000</v>
      </c>
    </row>
    <row r="31" spans="1:2" x14ac:dyDescent="0.25">
      <c r="A31" t="s">
        <v>32</v>
      </c>
      <c r="B31" s="13">
        <v>822323769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-0.03789895298256962</v>
      </c>
      <c r="C5" s="10">
        <f>Assumptions!B6</f>
        <v>-0.03789895298256962</v>
      </c>
      <c r="D5" s="10">
        <f>Assumptions!B6</f>
        <v>-0.03789895298256962</v>
      </c>
      <c r="E5" s="10">
        <f>Assumptions!B6</f>
        <v>-0.03789895298256962</v>
      </c>
      <c r="F5" s="10">
        <f>Assumptions!B6</f>
        <v>-0.03789895298256962</v>
      </c>
    </row>
    <row r="6" spans="1:6" x14ac:dyDescent="0.25">
      <c r="A6" t="s">
        <v>43</v>
      </c>
      <c r="B6" s="18">
        <f>Assumptions!B29*(1+B5)</f>
        <v>5196307754.941141</v>
      </c>
      <c r="C6" s="18">
        <f>B6*(1+C5)</f>
        <v>4999373131.653665</v>
      </c>
      <c r="D6" s="18">
        <f>C6*(1+D5)</f>
        <v>4809902124.3948</v>
      </c>
      <c r="E6" s="18">
        <f>D6*(1+E5)</f>
        <v>4627611869.9316</v>
      </c>
      <c r="F6" s="18">
        <f>E6*(1+F5)</f>
        <v>4452230225.251481</v>
      </c>
    </row>
    <row r="7" spans="1:6" x14ac:dyDescent="0.25">
      <c r="A7" t="s">
        <v>5</v>
      </c>
      <c r="B7" s="10">
        <f>Assumptions!B7</f>
        <v>0.3745646708469409</v>
      </c>
      <c r="C7" s="10">
        <f>Assumptions!B7</f>
        <v>0.3745646708469409</v>
      </c>
      <c r="D7" s="10">
        <f>Assumptions!B7</f>
        <v>0.3745646708469409</v>
      </c>
      <c r="E7" s="10">
        <f>Assumptions!B7</f>
        <v>0.3745646708469409</v>
      </c>
      <c r="F7" s="10">
        <f>Assumptions!B7</f>
        <v>0.3745646708469409</v>
      </c>
    </row>
    <row r="8" spans="1:6" x14ac:dyDescent="0.25">
      <c r="A8" t="s">
        <v>44</v>
      </c>
      <c r="B8" s="18">
        <f>B6*B7</f>
        <v>1946353303.848935</v>
      </c>
      <c r="C8" s="18">
        <f>C6*C7</f>
        <v>1872588551.498895</v>
      </c>
      <c r="D8" s="18">
        <f>D6*D7</f>
        <v>1801619406.0299401</v>
      </c>
      <c r="E8" s="18">
        <f>E6*E7</f>
        <v>1733339916.8683262</v>
      </c>
      <c r="F8" s="18">
        <f>F6*F7</f>
        <v>1667648148.8561225</v>
      </c>
    </row>
    <row r="9" spans="1:6" x14ac:dyDescent="0.25">
      <c r="A9" t="s">
        <v>45</v>
      </c>
      <c r="B9" s="18">
        <f>B8*(1-Assumptions!B8)</f>
        <v>1362447312.6942544</v>
      </c>
      <c r="C9" s="18">
        <f>C8*(1-Assumptions!B8)</f>
        <v>1310811986.0492263</v>
      </c>
      <c r="D9" s="18">
        <f>D8*(1-Assumptions!B8)</f>
        <v>1261133584.220958</v>
      </c>
      <c r="E9" s="18">
        <f>E8*(1-Assumptions!B8)</f>
        <v>1213337941.8078282</v>
      </c>
      <c r="F9" s="18">
        <f>F8*(1-Assumptions!B8)</f>
        <v>1167353704.1992857</v>
      </c>
    </row>
    <row r="10" spans="1:6" x14ac:dyDescent="0.25">
      <c r="A10" t="s">
        <v>46</v>
      </c>
      <c r="B10" s="18">
        <f>B6*Assumptions!B9</f>
        <v>456026585.41200846</v>
      </c>
      <c r="C10" s="18">
        <f>C6*Assumptions!B9</f>
        <v>438743655.292677</v>
      </c>
      <c r="D10" s="18">
        <f>D6*Assumptions!B9</f>
        <v>422115730.12933904</v>
      </c>
      <c r="E10" s="18">
        <f>E6*Assumptions!B9</f>
        <v>406117985.91996413</v>
      </c>
      <c r="F10" s="18">
        <f>F6*Assumptions!B9</f>
        <v>390726539.46620756</v>
      </c>
    </row>
    <row r="11" spans="1:6" x14ac:dyDescent="0.25">
      <c r="A11" t="s">
        <v>47</v>
      </c>
      <c r="B11" s="18">
        <f>-B6*Assumptions!B10</f>
        <v>-382374384.65312505</v>
      </c>
      <c r="C11" s="18">
        <f>-C6*Assumptions!B10</f>
        <v>-367882795.82741725</v>
      </c>
      <c r="D11" s="18">
        <f>-D6*Assumptions!B10</f>
        <v>-353940423.0452577</v>
      </c>
      <c r="E11" s="18">
        <f>-E6*Assumptions!B10</f>
        <v>-340526451.59363467</v>
      </c>
      <c r="F11" s="18">
        <f>-F6*Assumptions!B10</f>
        <v>-327620855.6153662</v>
      </c>
    </row>
    <row r="12" spans="1:6" x14ac:dyDescent="0.25">
      <c r="A12" t="s">
        <v>48</v>
      </c>
      <c r="B12" s="18">
        <f>-(B6-Assumptions!B29)*Assumptions!B11</f>
        <v>-23271276.120380707</v>
      </c>
      <c r="C12" s="18">
        <f>-(C6-B6)*Assumptions!B11</f>
        <v>-22389319.12085</v>
      </c>
      <c r="D12" s="18">
        <f>-(D6-C6)*Assumptions!B11</f>
        <v>-21540787.368177157</v>
      </c>
      <c r="E12" s="18">
        <f>-(E6-D6)*Assumptions!B11</f>
        <v>-20724414.08050308</v>
      </c>
      <c r="F12" s="18">
        <f>-(F6-E6)*Assumptions!B11</f>
        <v>-19938980.48567473</v>
      </c>
    </row>
    <row r="13" spans="1:6" x14ac:dyDescent="0.25">
      <c r="A13" s="19" t="s">
        <v>49</v>
      </c>
      <c r="B13" s="20">
        <f>B9+B10+B11+B12</f>
        <v>1412828237.3327572</v>
      </c>
      <c r="C13" s="20">
        <f>C9+C10+C11+C12</f>
        <v>1359283526.3936357</v>
      </c>
      <c r="D13" s="20">
        <f>D9+D10+D11+D12</f>
        <v>1307768103.9368622</v>
      </c>
      <c r="E13" s="20">
        <f>E9+E10+E11+E12</f>
        <v>1258205062.0536547</v>
      </c>
      <c r="F13" s="20">
        <f>F9+F10+F11+F12</f>
        <v>1210520407.5644524</v>
      </c>
    </row>
    <row r="14" spans="1:6" x14ac:dyDescent="0.25">
      <c r="A14" t="s">
        <v>50</v>
      </c>
      <c r="B14" s="21">
        <f>1/(1+Assumptions!$B$26)^(1-0.5*Assumptions!$B$32)</f>
        <v>0.9635424195826727</v>
      </c>
      <c r="C14" s="21">
        <f>1/(1+Assumptions!$B$26)^(2-0.5*Assumptions!$B$32)</f>
        <v>0.8945662664761825</v>
      </c>
      <c r="D14" s="21">
        <f>1/(1+Assumptions!$B$26)^(3-0.5*Assumptions!$B$32)</f>
        <v>0.8305278406567076</v>
      </c>
      <c r="E14" s="21">
        <f>1/(1+Assumptions!$B$26)^(4-0.5*Assumptions!$B$32)</f>
        <v>0.7710736699507085</v>
      </c>
      <c r="F14" s="21">
        <f>1/(1+Assumptions!$B$26)^(5-0.5*Assumptions!$B$32)</f>
        <v>0.715875585845663</v>
      </c>
    </row>
    <row r="15" spans="1:6" x14ac:dyDescent="0.25">
      <c r="A15" s="19" t="s">
        <v>51</v>
      </c>
      <c r="B15" s="20">
        <f>B13*B14</f>
        <v>1361319938.2543275</v>
      </c>
      <c r="C15" s="20">
        <f>C13*C14</f>
        <v>1215969189.2885342</v>
      </c>
      <c r="D15" s="20">
        <f>D13*D14</f>
        <v>1086137819.442399</v>
      </c>
      <c r="E15" s="20">
        <f>E13*E14</f>
        <v>970168794.7482704</v>
      </c>
      <c r="F15" s="20">
        <f>F13*F14</f>
        <v>866582005.9433331</v>
      </c>
    </row>
    <row r="17" spans="1:2" x14ac:dyDescent="0.25">
      <c r="A17" s="22" t="s">
        <v>52</v>
      </c>
      <c r="B17" s="23">
        <f>SUM(B15:F15)</f>
        <v>5500177747.676865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1210520407.5644524</v>
      </c>
    </row>
    <row r="5" spans="1:2" x14ac:dyDescent="0.25">
      <c r="A5" t="s">
        <v>56</v>
      </c>
      <c r="B5" s="18">
        <f>IF(Assumptions!$B$33=0,B4,B4-Forecast!F11-Forecast!F10-Forecast!F12)</f>
        <v>1167353704.1992857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0.18397568917081414</v>
      </c>
    </row>
    <row r="7" spans="1:2" x14ac:dyDescent="0.25">
      <c r="A7" t="s">
        <v>58</v>
      </c>
      <c r="B7" s="18">
        <f>-MAX(Forecast!F9,0)*B6</f>
        <v>-214764702.2361663</v>
      </c>
    </row>
    <row r="8" spans="1:2" x14ac:dyDescent="0.25">
      <c r="A8" t="s">
        <v>59</v>
      </c>
      <c r="B8" s="18">
        <f>IF(OR(Assumptions!$B$33=0,Assumptions!B12&lt;=0),B5,MAX(B5+B7,0))</f>
        <v>952589001.9631195</v>
      </c>
    </row>
    <row r="9" spans="1:2" x14ac:dyDescent="0.25">
      <c r="A9" t="s">
        <v>60</v>
      </c>
      <c r="B9" s="18">
        <f>B8*(1+Assumptions!B12)/(Assumptions!B26-Assumptions!B12)</f>
        <v>18738906360.407356</v>
      </c>
    </row>
    <row r="10" spans="1:2" x14ac:dyDescent="0.25">
      <c r="A10" t="s">
        <v>61</v>
      </c>
      <c r="B10" s="18">
        <f>B9/(1+Assumptions!B26)^(5-0.5*Assumptions!B32)</f>
        <v>13414725568.863638</v>
      </c>
    </row>
    <row r="11" spans="1:2" x14ac:dyDescent="0.25">
      <c r="A11" t="s">
        <v>62</v>
      </c>
      <c r="B11" s="18">
        <f>Forecast!B17+B10</f>
        <v>18914903316.540504</v>
      </c>
    </row>
    <row r="12" spans="1:2" x14ac:dyDescent="0.25">
      <c r="A12" t="s">
        <v>63</v>
      </c>
      <c r="B12" s="18">
        <f>-Assumptions!B30</f>
        <v>-1544000000</v>
      </c>
    </row>
    <row r="13" spans="1:2" x14ac:dyDescent="0.25">
      <c r="A13" t="s">
        <v>64</v>
      </c>
      <c r="B13" s="18">
        <f>B11+B12</f>
        <v>17370903316.540504</v>
      </c>
    </row>
    <row r="14" spans="1:2" x14ac:dyDescent="0.25">
      <c r="A14" s="19" t="s">
        <v>65</v>
      </c>
      <c r="B14" s="24">
        <f>B13/Assumptions!B31</f>
        <v>21.12416540952558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2058374688.32233</v>
      </c>
    </row>
    <row r="18" spans="1:2" x14ac:dyDescent="0.25">
      <c r="A18" t="s">
        <v>60</v>
      </c>
      <c r="B18" s="18">
        <f>B17*Assumptions!B13</f>
        <v>9136405415.259766</v>
      </c>
    </row>
    <row r="19" spans="1:2" x14ac:dyDescent="0.25">
      <c r="A19" t="s">
        <v>61</v>
      </c>
      <c r="B19" s="18">
        <f>B18/(1+Assumptions!B26)^(5-0.5*Assumptions!B32)</f>
        <v>6540529579.172573</v>
      </c>
    </row>
    <row r="20" spans="1:2" x14ac:dyDescent="0.25">
      <c r="A20" t="s">
        <v>62</v>
      </c>
      <c r="B20" s="18">
        <f>Forecast!B17+B19</f>
        <v>12040707326.849438</v>
      </c>
    </row>
    <row r="21" spans="1:2" x14ac:dyDescent="0.25">
      <c r="A21" t="s">
        <v>63</v>
      </c>
      <c r="B21" s="18">
        <f>-Assumptions!B30</f>
        <v>-1544000000</v>
      </c>
    </row>
    <row r="22" spans="1:2" x14ac:dyDescent="0.25">
      <c r="A22" t="s">
        <v>64</v>
      </c>
      <c r="B22" s="18">
        <f>B20+B21</f>
        <v>10496707326.849438</v>
      </c>
    </row>
    <row r="23" spans="1:2" x14ac:dyDescent="0.25">
      <c r="A23" s="19" t="s">
        <v>65</v>
      </c>
      <c r="B23" s="25">
        <f>B22/Assumptions!B31</f>
        <v>12.76468919245047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7.93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21.12416540952558</v>
      </c>
    </row>
    <row r="29" spans="1:2" x14ac:dyDescent="0.25">
      <c r="A29" s="19" t="s">
        <v>73</v>
      </c>
      <c r="B29" s="12">
        <f>B28/B26-1</f>
        <v>1.6638291815290773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0.057106</v>
      </c>
      <c r="B5" s="31">
        <v>28.815823002515994</v>
      </c>
      <c r="C5" s="31">
        <v>31.025066127436393</v>
      </c>
      <c r="D5" s="31">
        <v>33.90974679722824</v>
      </c>
      <c r="E5" s="31">
        <v>37.8436406768023</v>
      </c>
      <c r="F5" s="31">
        <v>43.53869014138404</v>
      </c>
    </row>
    <row r="6" spans="1:6" x14ac:dyDescent="0.25">
      <c r="A6" s="30">
        <v>0.067106</v>
      </c>
      <c r="B6" s="31">
        <v>23.320657647798697</v>
      </c>
      <c r="C6" s="31">
        <v>24.525741460437338</v>
      </c>
      <c r="D6" s="31">
        <v>26.007766368126553</v>
      </c>
      <c r="E6" s="31">
        <v>27.87868505845753</v>
      </c>
      <c r="F6" s="31">
        <v>30.32018963694411</v>
      </c>
    </row>
    <row r="7" spans="1:6" x14ac:dyDescent="0.25">
      <c r="A7" s="30">
        <v>0.077106</v>
      </c>
      <c r="B7" s="31">
        <v>19.58608838761283</v>
      </c>
      <c r="C7" s="31">
        <v>20.29101143970858</v>
      </c>
      <c r="D7" s="32">
        <v>21.124044562135115</v>
      </c>
      <c r="E7" s="31">
        <v>22.125981943636162</v>
      </c>
      <c r="F7" s="31">
        <v>23.356994673512954</v>
      </c>
    </row>
    <row r="8" spans="1:6" x14ac:dyDescent="0.25">
      <c r="A8" s="30">
        <v>0.087106</v>
      </c>
      <c r="B8" s="31">
        <v>16.880007357010932</v>
      </c>
      <c r="C8" s="31">
        <v>17.308993207735327</v>
      </c>
      <c r="D8" s="31">
        <v>17.80127668675367</v>
      </c>
      <c r="E8" s="31">
        <v>18.373484145489797</v>
      </c>
      <c r="F8" s="31">
        <v>19.04862367698034</v>
      </c>
    </row>
    <row r="9" spans="1:6" x14ac:dyDescent="0.25">
      <c r="A9" s="30">
        <v>0.097106</v>
      </c>
      <c r="B9" s="31">
        <v>14.82694963505445</v>
      </c>
      <c r="C9" s="31">
        <v>15.092706473084746</v>
      </c>
      <c r="D9" s="31">
        <v>15.390545968665917</v>
      </c>
      <c r="E9" s="31">
        <v>15.727639460624033</v>
      </c>
      <c r="F9" s="31">
        <v>16.113467674583912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5401000000</v>
      </c>
      <c r="C5" s="18">
        <v>5832000000</v>
      </c>
      <c r="D5" s="18">
        <v>3824000000</v>
      </c>
      <c r="E5" s="18">
        <v>6064739000</v>
      </c>
      <c r="F5" s="8" t="s">
        <v>84</v>
      </c>
    </row>
    <row r="6" spans="1:6" x14ac:dyDescent="0.25">
      <c r="A6" t="s">
        <v>44</v>
      </c>
      <c r="B6" s="18">
        <v>1135000000</v>
      </c>
      <c r="C6" s="18">
        <v>1406000000</v>
      </c>
      <c r="D6" s="18">
        <v>1376000000</v>
      </c>
      <c r="E6" s="18">
        <v>4167665000</v>
      </c>
      <c r="F6" s="8" t="s">
        <v>85</v>
      </c>
    </row>
    <row r="7" spans="1:6" x14ac:dyDescent="0.25">
      <c r="A7" t="s">
        <v>86</v>
      </c>
      <c r="B7" s="18">
        <v>682000000</v>
      </c>
      <c r="C7" s="18">
        <v>607000000</v>
      </c>
      <c r="D7" s="18">
        <v>319000000</v>
      </c>
      <c r="E7" s="18">
        <v>226000000</v>
      </c>
      <c r="F7" s="8" t="s">
        <v>87</v>
      </c>
    </row>
    <row r="8" spans="1:6" x14ac:dyDescent="0.25">
      <c r="A8" t="s">
        <v>88</v>
      </c>
      <c r="B8" s="18">
        <v>355000000</v>
      </c>
      <c r="C8" s="18">
        <v>393000000</v>
      </c>
      <c r="D8" s="18">
        <v>454000000</v>
      </c>
      <c r="E8" s="18">
        <v>257775000</v>
      </c>
      <c r="F8" s="8" t="s">
        <v>89</v>
      </c>
    </row>
    <row r="9" spans="1:6" x14ac:dyDescent="0.25">
      <c r="A9" t="s">
        <v>90</v>
      </c>
      <c r="B9" s="18">
        <v>49000000</v>
      </c>
      <c r="C9" s="18">
        <v>-88000000</v>
      </c>
      <c r="D9" s="18">
        <v>380297000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2322000000</v>
      </c>
      <c r="C10" s="18">
        <v>2033000000</v>
      </c>
      <c r="D10" s="18">
        <v>1891000000</v>
      </c>
      <c r="E10" s="18">
        <v>188948000</v>
      </c>
      <c r="F10" s="8" t="s">
        <v>93</v>
      </c>
    </row>
    <row r="11" spans="1:6" x14ac:dyDescent="0.25">
      <c r="A11" t="s">
        <v>94</v>
      </c>
      <c r="B11" s="18">
        <v>778000000</v>
      </c>
      <c r="C11" s="18">
        <v>1206000000</v>
      </c>
      <c r="D11" s="18">
        <v>405000000</v>
      </c>
      <c r="E11" s="18">
        <v>2775510000</v>
      </c>
      <c r="F11" s="8" t="s">
        <v>95</v>
      </c>
    </row>
    <row r="12" spans="1:6" x14ac:dyDescent="0.25">
      <c r="A12" t="s">
        <v>32</v>
      </c>
      <c r="B12" s="34">
        <v>822323769</v>
      </c>
      <c r="C12" s="34">
        <v>810237203</v>
      </c>
      <c r="D12" s="34">
        <v>810502283</v>
      </c>
      <c r="E12" s="34">
        <v>881127477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2026-09-19T01:03:10Z</dcterms:modified>
</cp:coreProperties>
</file>